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Custos!$L$30</definedName>
    <definedName name="CustoIngrPorcao">Custos!$L$31</definedName>
    <definedName name="PerdasPorcao">Custos!$L$32</definedName>
    <definedName name="EmbalagemPorcao">Custos!$L$33</definedName>
    <definedName name="CustoTotalPorcao">Custos!$L$34</definedName>
    <definedName name="PrecoSugerido">Custos!$L$35</definedName>
    <definedName name="LucroPorcao">Custos!$L$36</definedName>
    <definedName name="PrecoNegocio">Custos!$L$37</definedName>
    <definedName name="CMVReal">Custos!$L$38</definedName>
    <definedName name="LucroPraticado">Custos!$L$39</definedName>
    <definedName name="RendimentoReceita">Custos!$L$40</definedName>
    <definedName name="Faturamento">Custos!$L$41</definedName>
    <definedName name="CustoReceita">Custos!$L$42</definedName>
    <definedName name="LucroReceita">Custos!$L$43</definedName>
    <definedName name="Rendimento">Custos!$F$30</definedName>
    <definedName name="EmbViagem">Custos!$F$31</definedName>
    <definedName name="PerdasPct">Custos!$F$32</definedName>
    <definedName name="CMVDesejado">Custos!$F$33</definedName>
    <definedName name="PrecoPraticado">Custos!$F$34</definedName>
    <definedName name="_xlnm.Print_Area" localSheetId="0">'Ficha Técnica'!$A$1:$I$91</definedName>
    <definedName name="_xlnm.Print_Area" localSheetId="1">Custos!$A$1:$O$43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30" authorId="0">
      <text>
        <r>
          <t>Soma do custo de todos os ingredientes da receita.</t>
        </r>
      </text>
    </comment>
    <comment ref="C31" authorId="0">
      <text>
        <r>
          <t>Custo direto da porção: ingredientes, perdas e embalagem para viagem. Não inclui mão de obra, aluguel, impostos, taxas nem lucro.</t>
        </r>
      </text>
    </comment>
    <comment ref="C32" authorId="0">
      <text>
        <r>
          <t>Custo da porção ÷ CMV desejado (aba Custos). Com CMV de 30%, os ingredientes são 30% do preço e os outros 70% pagam a operação e o lucro.</t>
        </r>
      </text>
    </comment>
    <comment ref="C33" authorId="0">
      <text>
        <r>
          <t>Preço que cobre a operação do seu negócio e o lucro que você quer, com os percentuais da aba Meu negócio.</t>
        </r>
      </text>
    </comment>
    <comment ref="C34" authorId="0">
      <text>
        <r>
          <t>Faturamento menos custo da receita inteira, pelo preço de referência. Não é lucro: paga a operação e, no fim, o lucro.</t>
        </r>
      </text>
    </comment>
    <comment ref="C57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2" authorId="0">
      <text>
        <r>
          <t>Ingrediente da receita. Produtos PQ aparecem em negrito e em vermelho.</t>
        </r>
      </text>
    </comment>
    <comment ref="D62" authorId="0">
      <text>
        <r>
          <t>Tamanho da embalagem que serviu de base para o preço (ex.: pacote de 500 g).</t>
        </r>
      </text>
    </comment>
    <comment ref="F62" authorId="0">
      <text>
        <r>
          <t>Preço da embalagem inteira, informado na aba Custos.</t>
        </r>
      </text>
    </comment>
    <comment ref="G62" authorId="0">
      <text>
        <r>
          <t>Quantidade a comprar para a receita (já com o fator de correção), em g, ml ou unidades.</t>
        </r>
      </text>
    </comment>
    <comment ref="H62" authorId="0">
      <text>
        <r>
          <t>Quanto o ingrediente representa no custo total dos ingredientes.</t>
        </r>
      </text>
    </comment>
    <comment ref="I62" authorId="0">
      <text>
        <r>
          <t>Custo do ingrediente na receita inteira.</t>
        </r>
      </text>
    </comment>
    <comment ref="G75" authorId="0">
      <text>
        <r>
          <t>Os 3 ingredientes com maior participação no custo da receita.</t>
        </r>
      </text>
    </comment>
    <comment ref="B78" authorId="0">
      <text>
        <r>
          <t>Margem para o que estraga, sobra ou é descartado (% sobre os ingredientes).</t>
        </r>
      </text>
    </comment>
    <comment ref="B79" authorId="0">
      <text>
        <r>
          <t>Custo da embalagem descartável de uma porção para viagem ou delivery.</t>
        </r>
      </text>
    </comment>
    <comment ref="B80" authorId="0">
      <text>
        <r>
          <t>Custo direto: ingredientes, perdas e embalagem. Não inclui mão de obra, aluguel, impostos, taxas nem lucro.</t>
        </r>
      </text>
    </comment>
    <comment ref="B81" authorId="0">
      <text>
        <r>
          <t>CMV = custo da mercadoria vendida: quanto do preço de venda vai para pagar os ingredientes. O resto paga a operação e o lucro.</t>
        </r>
      </text>
    </comment>
    <comment ref="B82" authorId="0">
      <text>
        <r>
          <t>Custo da porção ÷ CMV desejado. É um atalho; o preço que fecha com o seu negócio está na aba Meu negócio.</t>
        </r>
      </text>
    </comment>
    <comment ref="B83" authorId="0">
      <text>
        <r>
          <t>Preço de referência − custo da porção. Não é lucro: paga mão de obra, aluguel, impostos, taxas e marketing, e o que sobrar é o lucro.</t>
        </r>
      </text>
    </comment>
    <comment ref="B84" authorId="0">
      <text>
        <r>
          <t>Custo da porção ÷ (1 − soma dos percentuais da aba Meu negócio).</t>
        </r>
      </text>
    </comment>
    <comment ref="B88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21" authorId="0">
      <text>
        <r>
          <t>Tempero ou ingrediente a gosto: na ficha fica "qb", mas o custo usa o máximo esperado, para não subestimar. Máximo de 2 g, só para o custo: entra na salada (orange pepper) e no azeite do prato. Cada uso até 1 g, a colher (chá) rasa de especiarias da tabela UFG (a mais próxima; a calabresa em flocos não está na tabela). No vídeo o chef usa pitadas e 'um pouquinho mais' a pedido da produção.</t>
        </r>
      </text>
    </comment>
    <comment ref="D22" authorId="0">
      <text>
        <r>
          <t>Tempero ou ingrediente a gosto: na ficha fica "qb", mas o custo usa o máximo esperado, para não subestimar. Máximo de 2 g (1 colher de chá rasa, tabela UFG), só para o custo, o mesmo critério da ficha do strogonoff (4 porções). No vídeo: 'um salzinho'.</t>
        </r>
      </text>
    </comment>
    <comment ref="D23" authorId="0">
      <text>
        <r>
          <t>Tempero ou ingrediente a gosto: na ficha fica "qb", mas o custo usa o máximo esperado, para não subestimar. Máximo de 15 ml (1 colher de sopa), o mesmo critério do 'fio de azeite' da ficha do grão-de-bico crocante.</t>
        </r>
      </text>
    </comment>
    <comment ref="B30" authorId="0">
      <text>
        <r>
          <t>Quantas porções a receita rende. Vem da ficha técnica: para mudar, altere lá.</t>
        </r>
      </text>
    </comment>
    <comment ref="I30" authorId="0">
      <text>
        <r>
          <t>Soma do custo de todos os ingredientes da receita.</t>
        </r>
      </text>
    </comment>
    <comment ref="B31" authorId="0">
      <text>
        <r>
          <t>Custo da embalagem descartável de uma porção para viagem ou delivery (caixinha, pote). Deixe 0 se não usa.</t>
        </r>
      </text>
    </comment>
    <comment ref="I31" authorId="0">
      <text>
        <r>
          <t>Custo dos ingredientes dividido pelo rendimento (número de porções).</t>
        </r>
      </text>
    </comment>
    <comment ref="B32" authorId="0">
      <text>
        <r>
          <t>Margem para perdas e sobras (o que estraga, sobra ou é descartado), em % sobre o custo dos ingredientes. Ex.: 5%.</t>
        </r>
      </text>
    </comment>
    <comment ref="B33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4" authorId="0">
      <text>
        <r>
          <t>Opcional: se você já vende este prato, informe o preço atual para ver o CMV real e o lucro bruto.</t>
        </r>
      </text>
    </comment>
    <comment ref="I34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5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6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7" authorId="0">
      <text>
        <r>
          <t>Preço calculado com os percentuais da aba Meu negócio: custo da porção ÷ (1 − soma dos percentuais). Fica vazio até a aba ser preenchida.</t>
        </r>
      </text>
    </comment>
    <comment ref="I38" authorId="0">
      <text>
        <r>
          <t>CMV real = custo da porção ÷ preço que você já pratica.</t>
        </r>
      </text>
    </comment>
    <comment ref="I39" authorId="0">
      <text>
        <r>
          <t>Margem por porção no preço que você já pratica = preço praticado − custo da porção.</t>
        </r>
      </text>
    </comment>
    <comment ref="I41" authorId="0">
      <text>
        <r>
          <t>Faturamento da receita inteira = preço de referência por porção × número de porções.</t>
        </r>
      </text>
    </comment>
    <comment ref="I42" authorId="0">
      <text>
        <r>
          <t>Custo total da receita inteira = custo da porção × número de porções.</t>
        </r>
      </text>
    </comment>
    <comment ref="I43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<sst xmlns="http://schemas.openxmlformats.org/spreadsheetml/2006/main" count="281" uniqueCount="232">
  <si>
    <t>FICHA TÉCNICA</t>
  </si>
  <si>
    <t>Receita profissional · PQ Alimentos Food Service</t>
  </si>
  <si>
    <t>NOME DO PRATO</t>
  </si>
  <si>
    <t>Salada Morna Vegana de Trigo com Hortelã e Orange Pepper</t>
  </si>
  <si>
    <t>CATEGORIA</t>
  </si>
  <si>
    <t>Salada</t>
  </si>
  <si>
    <t>RENDIMENTO (porções)</t>
  </si>
  <si>
    <t>PESO DA PORÇÃO (g)</t>
  </si>
  <si>
    <t>TEMPO DE PREPARO</t>
  </si>
  <si>
    <t>Infusão de hortelã: na água bem quente · Hidratação do trigo: cerca de 30 min · Sem fogo · Servir morna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</si>
  <si>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</si>
  <si>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</si>
  <si>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</si>
  <si>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</si>
  <si>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</si>
  <si>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</si>
  <si>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</si>
  <si>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</si>
  <si>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</si>
  <si>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</si>
  <si>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</si>
  <si>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Trigo para Kibe PQ</t>
  </si>
  <si>
    <t>Sim</t>
  </si>
  <si>
    <t>g</t>
  </si>
  <si>
    <t>Água bem quente</t>
  </si>
  <si>
    <t>Não</t>
  </si>
  <si>
    <t>ml</t>
  </si>
  <si>
    <t>Hortelã fresca (folhas)</t>
  </si>
  <si>
    <t>qb</t>
  </si>
  <si>
    <t>a gosto: só para a infusão</t>
  </si>
  <si>
    <t>Pepino comum</t>
  </si>
  <si>
    <t>un</t>
  </si>
  <si>
    <t>1 pepino, com casca, sem sementes</t>
  </si>
  <si>
    <t>Tomate grande</t>
  </si>
  <si>
    <t>1 tomate grande, sem a polpa</t>
  </si>
  <si>
    <t>Laranja-baía (só as raspas)</t>
  </si>
  <si>
    <t>raspas de 1 laranja, sem a parte branca</t>
  </si>
  <si>
    <t>Pimenta Calabresa PQ</t>
  </si>
  <si>
    <t>a gosto: comece com 1 pitada</t>
  </si>
  <si>
    <t>Sal</t>
  </si>
  <si>
    <t>a gosto: prove antes de salgar</t>
  </si>
  <si>
    <t>Azeite (fio na salada)</t>
  </si>
  <si>
    <t>1 fio</t>
  </si>
  <si>
    <t>Azeite (fundo do prato)</t>
  </si>
  <si>
    <t>a gosto: um banho no fundo do prato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</si>
  <si>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</si>
  <si>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</si>
  <si>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</si>
  <si>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</si>
  <si>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</si>
  <si>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</si>
  <si>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separar e pesar os ingredientes. Cortar o pepino ao meio, raspar as sementes com uma colher, cortar em tiras de um dedo e depois em cubinhos. Tirar a polpa do tomate e cortar em cubinhos do mesmo tamanho.</t>
  </si>
  <si>
    <t>Colocar as folhas de hortelã na água bem quente e deixar descansar um pouco, para fazer a infusão.</t>
  </si>
  <si>
    <t>Coar a água de hortelã sobre o trigo e deixar hidratar por cerca de 30 minutos, até ficar macio. Soltar com um garfo: o trigo deve ficar soltinho, sem blocos, e ainda morno.</t>
  </si>
  <si>
    <t>Juntar o pepino e o tomate. Temperar com um fio de azeite, provar antes de salgar e acertar o sal. Misturar bem.</t>
  </si>
  <si>
    <t>Ralar a casca da laranja sem pegar a parte branca, que amarga. Misturar as raspas com a pimenta calabresa: é o orange pepper. Juntar à salada com mais um pouco de raspa e misturar.</t>
  </si>
  <si>
    <t>Moldar com um aro no centro de um prato fundo e retirar o aro. Regar o fundo do prato com bastante azeite e salpicar pimenta calabresa no azeite.</t>
  </si>
  <si>
    <t>MONTAGEM E FINALIZAÇÃO</t>
  </si>
  <si>
    <t>DICAS DE PREPARO</t>
  </si>
  <si>
    <t xml:space="preserve">Servir morna, moldada no aro, sobre o banho de azeite no fundo de um prato fundo.
Finalização opcional: broto, um pedaço de casca de laranja e folha de ouro.
Os itens da finalização ficam fora do custo.</t>
  </si>
  <si>
    <t xml:space="preserve">Receita vegana.
A hortelã só perfuma a água: as folhas ficam no coador e a salada não leva hortelã picada.
Água demais deixa o trigo úmido: ele deve sair soltinho do garfo.
Pepino e tomate em cubos do mesmo tamanho deixam a salada homogênea.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</si>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</sst>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9" fillId="5" borderId="0" xfId="0" applyFont="1" applyFill="1" applyAlignment="1">
      <alignment horizontal="left" vertical="center" indent="1"/>
    </xf>
    <xf numFmtId="166" fontId="49" fillId="5" borderId="0" xfId="0" applyNumberFormat="1" applyFont="1" applyFill="1" applyAlignment="1">
      <alignment horizontal="right" vertical="center" indent="1"/>
    </xf>
    <xf numFmtId="0" fontId="49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5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left" vertical="center" indent="1"/>
      <protection locked="0" hidden="0"/>
    </xf>
    <xf numFmtId="166" fontId="49" fillId="5" borderId="0" xfId="0" applyNumberFormat="1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0" fillId="0" borderId="0" xfId="0" applyFont="1"/>
    <xf numFmtId="0" fontId="50" fillId="0" borderId="0" xfId="0" applyFont="1" applyAlignment="1">
      <alignment horizontal="right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 wrapText="1"/>
    </xf>
    <xf numFmtId="0" fontId="51" fillId="0" borderId="0" xfId="0" applyFont="1"/>
    <xf numFmtId="0" fontId="52" fillId="0" borderId="0" xfId="0" applyFont="1"/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4" fillId="0" borderId="14" xfId="0" applyFont="1" applyBorder="1" applyAlignment="1">
      <alignment vertical="center" wrapText="1"/>
    </xf>
    <xf numFmtId="0" fontId="55" fillId="0" borderId="0" xfId="0" applyFont="1"/>
    <xf numFmtId="0" fontId="56" fillId="0" borderId="0" xfId="0" applyFont="1"/>
    <xf numFmtId="0" fontId="56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0" applyFont="1" applyFill="1" applyAlignment="1">
      <alignment horizontal="center" vertical="top"/>
    </xf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0" fillId="3" borderId="0" xfId="0" applyFont="1" applyFill="1"/>
    <xf numFmtId="0" fontId="60" fillId="3" borderId="0" xfId="0" applyFont="1" applyFill="1" applyAlignment="1">
      <alignment horizontal="center"/>
    </xf>
    <xf numFmtId="0" fontId="60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4" fillId="6" borderId="0" xfId="0" applyFont="1" applyFill="1" applyAlignment="1">
      <alignment wrapText="1"/>
    </xf>
    <xf numFmtId="0" fontId="54" fillId="6" borderId="0" xfId="0" applyFont="1" applyFill="1"/>
    <xf numFmtId="0" fontId="54" fillId="6" borderId="0" xfId="0" applyFont="1" applyFill="1" applyAlignment="1">
      <alignment vertical="top" wrapText="1"/>
    </xf>
    <xf numFmtId="0" fontId="54" fillId="6" borderId="0" xfId="0" applyFont="1" applyFill="1" applyAlignment="1">
      <alignment vertical="top"/>
    </xf>
    <xf numFmtId="0" fontId="54" fillId="6" borderId="0" xfId="0" applyFont="1" applyFill="1" applyAlignment="1">
      <alignment horizontal="left" vertical="top" wrapText="1" indent="1"/>
    </xf>
    <xf numFmtId="0" fontId="56" fillId="8" borderId="0" xfId="0" applyFont="1" applyFill="1"/>
    <xf numFmtId="0" fontId="56" fillId="8" borderId="0" xfId="0" applyFont="1" applyFill="1" applyAlignment="1">
      <alignment horizontal="center"/>
    </xf>
    <xf numFmtId="0" fontId="56" fillId="8" borderId="0" xfId="0" applyFont="1" applyFill="1" applyAlignment="1">
      <alignment horizontal="center" vertical="top"/>
    </xf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0" fillId="8" borderId="0" xfId="0" applyFont="1" applyFill="1"/>
    <xf numFmtId="0" fontId="60" fillId="8" borderId="0" xfId="0" applyFont="1" applyFill="1" applyAlignment="1">
      <alignment horizontal="center"/>
    </xf>
    <xf numFmtId="0" fontId="60" fillId="8" borderId="0" xfId="0" applyFont="1" applyFill="1" applyAlignment="1">
      <alignment horizontal="center" vertical="center"/>
    </xf>
    <xf numFmtId="0" fontId="4" fillId="2" borderId="0" xfId="0" applyFont="1" applyFill="1"/>
    <xf numFmtId="0" fontId="61" fillId="2" borderId="0" xfId="0" applyFont="1" applyFill="1"/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4" fillId="2" borderId="0" xfId="0" applyFont="1" applyFill="1"/>
    <xf numFmtId="0" fontId="54" fillId="2" borderId="0" xfId="0" applyFont="1" applyFill="1" applyAlignment="1">
      <alignment vertical="top"/>
    </xf>
    <xf numFmtId="0" fontId="54" fillId="2" borderId="0" xfId="0" applyFont="1" applyFill="1" applyAlignment="1">
      <alignment vertical="top" wrapText="1"/>
    </xf>
    <xf numFmtId="0" fontId="54" fillId="2" borderId="0" xfId="0" applyFont="1" applyFill="1" applyAlignment="1">
      <alignment horizontal="left" vertical="top" wrapText="1" indent="1"/>
    </xf>
    <xf numFmtId="0" fontId="56" fillId="9" borderId="0" xfId="0" applyFont="1" applyFill="1"/>
    <xf numFmtId="0" fontId="56" fillId="9" borderId="0" xfId="0" applyFont="1" applyFill="1" applyAlignment="1">
      <alignment horizontal="center"/>
    </xf>
    <xf numFmtId="0" fontId="56" fillId="9" borderId="0" xfId="0" applyFont="1" applyFill="1" applyAlignment="1">
      <alignment horizontal="center" vertical="top"/>
    </xf>
    <xf numFmtId="0" fontId="60" fillId="9" borderId="0" xfId="0" applyFont="1" applyFill="1"/>
    <xf numFmtId="0" fontId="60" fillId="9" borderId="0" xfId="0" applyFont="1" applyFill="1" applyAlignment="1">
      <alignment horizontal="center"/>
    </xf>
    <xf numFmtId="0" fontId="60" fillId="9" borderId="0" xfId="0" applyFont="1" applyFill="1" applyAlignment="1">
      <alignment horizontal="center" vertical="center"/>
    </xf>
    <xf numFmtId="0" fontId="62" fillId="0" borderId="0" xfId="0" applyFont="1"/>
    <xf numFmtId="0" fontId="62" fillId="10" borderId="0" xfId="0" applyFont="1" applyFill="1"/>
    <xf numFmtId="0" fontId="62" fillId="10" borderId="0" xfId="0" applyFont="1" applyFill="1" applyAlignment="1">
      <alignment horizontal="center"/>
    </xf>
    <xf numFmtId="0" fontId="62" fillId="10" borderId="0" xfId="0" applyFont="1" applyFill="1" applyAlignment="1">
      <alignment horizontal="center" vertical="center"/>
    </xf>
    <xf numFmtId="0" fontId="62" fillId="10" borderId="15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 wrapText="1" indent="1"/>
    </xf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62" fillId="11" borderId="0" xfId="0" applyFont="1" applyFill="1"/>
    <xf numFmtId="0" fontId="62" fillId="11" borderId="0" xfId="0" applyFont="1" applyFill="1" applyAlignment="1">
      <alignment horizontal="center"/>
    </xf>
    <xf numFmtId="0" fontId="62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8</xdr:col>
      <xdr:colOff>304800</xdr:colOff>
      <xdr:row>54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91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6"/>
      <c r="B1" s="386"/>
      <c r="C1" s="386"/>
      <c r="D1" s="386"/>
      <c r="E1" s="386"/>
      <c r="F1" s="386"/>
      <c r="G1" s="386"/>
      <c r="H1" s="386"/>
      <c r="I1" s="386"/>
    </row>
    <row r="2" ht="18" customHeight="1">
      <c r="A2" s="386"/>
      <c r="B2" s="386"/>
      <c r="C2" s="386"/>
      <c r="D2" s="386"/>
      <c r="E2" s="387" t="s">
        <v>0</v>
      </c>
      <c r="F2" s="387"/>
      <c r="G2" s="387"/>
      <c r="H2" s="387"/>
      <c r="I2" s="387"/>
    </row>
    <row r="3" ht="18" customHeight="1">
      <c r="A3" s="386"/>
      <c r="C3" s="386"/>
      <c r="D3" s="386"/>
      <c r="E3" s="387"/>
      <c r="F3" s="387"/>
      <c r="G3" s="387"/>
      <c r="H3" s="387"/>
      <c r="I3" s="387"/>
    </row>
    <row r="4">
      <c r="A4" s="386"/>
      <c r="B4" s="386"/>
      <c r="C4" s="386"/>
      <c r="D4" s="386"/>
      <c r="E4" s="388" t="s">
        <v>1</v>
      </c>
      <c r="F4" s="388"/>
      <c r="G4" s="388"/>
      <c r="H4" s="388"/>
      <c r="I4" s="388"/>
    </row>
    <row r="5" ht="7.5" customHeight="1">
      <c r="A5" s="386"/>
      <c r="B5" s="386"/>
      <c r="C5" s="386"/>
      <c r="D5" s="386"/>
      <c r="E5" s="386"/>
      <c r="F5" s="386"/>
      <c r="G5" s="386"/>
      <c r="H5" s="386"/>
      <c r="I5" s="386"/>
    </row>
    <row r="6" ht="3" customHeight="1">
      <c r="A6" s="386"/>
      <c r="B6" s="389"/>
      <c r="C6" s="389"/>
      <c r="D6" s="389"/>
      <c r="E6" s="389"/>
      <c r="F6" s="389"/>
      <c r="G6" s="389"/>
      <c r="H6" s="389"/>
      <c r="I6" s="389"/>
    </row>
    <row r="7" ht="1.5" customHeight="1">
      <c r="A7" s="386"/>
      <c r="B7" s="390"/>
      <c r="C7" s="390"/>
      <c r="D7" s="390"/>
      <c r="E7" s="390"/>
      <c r="F7" s="390"/>
      <c r="G7" s="390"/>
      <c r="H7" s="390"/>
      <c r="I7" s="390"/>
    </row>
    <row r="8" ht="27" customHeight="1">
      <c r="A8" s="386"/>
      <c r="B8" s="391" t="s">
        <v>2</v>
      </c>
      <c r="C8" s="391"/>
      <c r="D8" s="392" t="s">
        <v>3</v>
      </c>
      <c r="E8" s="392"/>
      <c r="F8" s="392"/>
      <c r="G8" s="392"/>
      <c r="H8" s="392"/>
      <c r="I8" s="392"/>
    </row>
    <row r="9" ht="15" customHeight="1">
      <c r="A9" s="386"/>
      <c r="B9" s="391" t="s">
        <v>4</v>
      </c>
      <c r="C9" s="391"/>
      <c r="D9" s="393" t="s">
        <v>5</v>
      </c>
      <c r="E9" s="393"/>
      <c r="F9" s="393"/>
      <c r="G9" s="393"/>
      <c r="H9" s="394"/>
      <c r="I9" s="394"/>
    </row>
    <row r="10" ht="15" customHeight="1">
      <c r="A10" s="386"/>
      <c r="B10" s="391" t="s">
        <v>6</v>
      </c>
      <c r="C10" s="391"/>
      <c r="D10" s="395">
        <v>4</v>
      </c>
      <c r="E10" s="393"/>
      <c r="F10" s="393"/>
      <c r="G10" s="393"/>
      <c r="H10" s="394"/>
      <c r="I10" s="394"/>
    </row>
    <row r="11" ht="15" customHeight="1">
      <c r="A11" s="386"/>
      <c r="B11" s="391" t="s">
        <v>7</v>
      </c>
      <c r="C11" s="391"/>
      <c r="D11" s="395"/>
      <c r="E11" s="393"/>
      <c r="F11" s="393"/>
      <c r="G11" s="393"/>
      <c r="H11" s="394"/>
      <c r="I11" s="394"/>
    </row>
    <row r="12" ht="22.5" customHeight="1">
      <c r="A12" s="386"/>
      <c r="B12" s="391" t="s">
        <v>8</v>
      </c>
      <c r="C12" s="391"/>
      <c r="D12" s="396" t="s">
        <v>9</v>
      </c>
      <c r="E12" s="396"/>
      <c r="F12" s="396"/>
      <c r="G12" s="396"/>
      <c r="H12" s="394"/>
      <c r="I12" s="394"/>
    </row>
    <row r="13" ht="15" customHeight="1">
      <c r="A13" s="386"/>
      <c r="B13" s="391" t="s">
        <v>10</v>
      </c>
      <c r="C13" s="391"/>
      <c r="D13" s="396" t="s">
        <v>11</v>
      </c>
      <c r="E13" s="396"/>
      <c r="F13" s="396"/>
      <c r="G13" s="396"/>
      <c r="H13" s="394"/>
      <c r="I13" s="394"/>
    </row>
    <row r="14" ht="4.5" customHeight="1">
      <c r="A14" s="386"/>
      <c r="B14" s="397"/>
      <c r="C14" s="398"/>
      <c r="D14" s="398"/>
      <c r="E14" s="398"/>
      <c r="F14" s="398"/>
      <c r="G14" s="398"/>
      <c r="H14" s="398"/>
      <c r="I14" s="398"/>
    </row>
    <row r="15" ht="16.5" customHeight="1">
      <c r="A15" s="386"/>
      <c r="B15" s="397"/>
      <c r="C15" s="399" t="s">
        <v>12</v>
      </c>
      <c r="D15" s="399"/>
      <c r="E15" s="399"/>
      <c r="F15" s="399"/>
      <c r="G15" s="399"/>
      <c r="H15" s="399"/>
      <c r="I15" s="399"/>
    </row>
    <row r="16" ht="22.5" customHeight="1">
      <c r="A16" s="386"/>
      <c r="B16" s="397"/>
      <c r="C16" s="400" t="s">
        <v>13</v>
      </c>
      <c r="D16" s="400"/>
      <c r="E16" s="400"/>
      <c r="F16" s="400"/>
      <c r="G16" s="400"/>
      <c r="H16" s="400"/>
      <c r="I16" s="400"/>
    </row>
    <row r="17" ht="4.5" customHeight="1">
      <c r="A17" s="386"/>
      <c r="B17" s="397"/>
      <c r="C17" s="398"/>
      <c r="D17" s="398"/>
      <c r="E17" s="398"/>
      <c r="F17" s="398"/>
      <c r="G17" s="398"/>
      <c r="H17" s="398"/>
      <c r="I17" s="398"/>
    </row>
    <row r="18" ht="18" customHeight="1">
      <c r="A18" s="386"/>
      <c r="B18" s="401" t="s">
        <v>14</v>
      </c>
      <c r="C18" s="401" t="s">
        <v>15</v>
      </c>
      <c r="D18" s="401" t="s">
        <v>16</v>
      </c>
      <c r="E18" s="401" t="s">
        <v>17</v>
      </c>
      <c r="F18" s="401" t="s">
        <v>18</v>
      </c>
      <c r="G18" s="401" t="s">
        <v>19</v>
      </c>
      <c r="H18" s="401"/>
      <c r="I18" s="401" t="s">
        <v>20</v>
      </c>
    </row>
    <row r="19" ht="12" customHeight="1">
      <c r="A19" s="386"/>
      <c r="B19" s="402">
        <v>1</v>
      </c>
      <c r="C19" s="403" t="s">
        <v>21</v>
      </c>
      <c r="D19" s="404" t="s">
        <v>22</v>
      </c>
      <c r="E19" s="404">
        <v>200</v>
      </c>
      <c r="F19" s="404" t="s">
        <v>23</v>
      </c>
      <c r="G19" s="405"/>
      <c r="H19" s="405"/>
      <c r="I19" s="315" t="str">
        <f>IF(Custos!L15="","",Custos!L15)</f>
        <v/>
      </c>
    </row>
    <row r="20" ht="12" customHeight="1">
      <c r="A20" s="386"/>
      <c r="B20" s="407">
        <v>2</v>
      </c>
      <c r="C20" s="408" t="s">
        <v>24</v>
      </c>
      <c r="D20" s="409" t="s">
        <v>25</v>
      </c>
      <c r="E20" s="409">
        <v>500</v>
      </c>
      <c r="F20" s="409" t="s">
        <v>26</v>
      </c>
      <c r="G20" s="410"/>
      <c r="H20" s="410"/>
      <c r="I20" s="316" t="str">
        <f>IF(Custos!L16="","",Custos!L16)</f>
        <v/>
      </c>
    </row>
    <row r="21" ht="12" customHeight="1">
      <c r="A21" s="386"/>
      <c r="B21" s="407">
        <v>3</v>
      </c>
      <c r="C21" s="408" t="s">
        <v>27</v>
      </c>
      <c r="D21" s="409" t="s">
        <v>25</v>
      </c>
      <c r="E21" s="409" t="s">
        <v>28</v>
      </c>
      <c r="F21" s="409" t="s">
        <v>23</v>
      </c>
      <c r="G21" s="410" t="s">
        <v>29</v>
      </c>
      <c r="H21" s="410"/>
      <c r="I21" s="316" t="str">
        <f>IF(Custos!L17="","",Custos!L17)</f>
        <v/>
      </c>
    </row>
    <row r="22" ht="12" customHeight="1">
      <c r="A22" s="386"/>
      <c r="B22" s="407">
        <v>4</v>
      </c>
      <c r="C22" s="408" t="s">
        <v>30</v>
      </c>
      <c r="D22" s="409" t="s">
        <v>25</v>
      </c>
      <c r="E22" s="409">
        <v>1</v>
      </c>
      <c r="F22" s="409" t="s">
        <v>31</v>
      </c>
      <c r="G22" s="412" t="s">
        <v>32</v>
      </c>
      <c r="H22" s="412"/>
      <c r="I22" s="316" t="str">
        <f>IF(Custos!L18="","",Custos!L18)</f>
        <v/>
      </c>
    </row>
    <row r="23" ht="12" customHeight="1">
      <c r="A23" s="386"/>
      <c r="B23" s="407">
        <v>5</v>
      </c>
      <c r="C23" s="408" t="s">
        <v>33</v>
      </c>
      <c r="D23" s="409" t="s">
        <v>25</v>
      </c>
      <c r="E23" s="409">
        <v>1</v>
      </c>
      <c r="F23" s="409" t="s">
        <v>31</v>
      </c>
      <c r="G23" s="410" t="s">
        <v>34</v>
      </c>
      <c r="H23" s="410"/>
      <c r="I23" s="316" t="str">
        <f>IF(Custos!L19="","",Custos!L19)</f>
        <v/>
      </c>
    </row>
    <row r="24" ht="12" customHeight="1">
      <c r="A24" s="386"/>
      <c r="B24" s="407">
        <v>6</v>
      </c>
      <c r="C24" s="408" t="s">
        <v>35</v>
      </c>
      <c r="D24" s="409" t="s">
        <v>25</v>
      </c>
      <c r="E24" s="409">
        <v>1</v>
      </c>
      <c r="F24" s="409" t="s">
        <v>31</v>
      </c>
      <c r="G24" s="412" t="s">
        <v>36</v>
      </c>
      <c r="H24" s="412"/>
      <c r="I24" s="316" t="str">
        <f>IF(Custos!L20="","",Custos!L20)</f>
        <v/>
      </c>
    </row>
    <row r="25" ht="12" customHeight="1">
      <c r="A25" s="386"/>
      <c r="B25" s="407">
        <v>7</v>
      </c>
      <c r="C25" s="408" t="s">
        <v>37</v>
      </c>
      <c r="D25" s="409" t="s">
        <v>22</v>
      </c>
      <c r="E25" s="409" t="s">
        <v>28</v>
      </c>
      <c r="F25" s="409" t="s">
        <v>23</v>
      </c>
      <c r="G25" s="410" t="s">
        <v>38</v>
      </c>
      <c r="H25" s="410"/>
      <c r="I25" s="316" t="str">
        <f>IF(Custos!L21="","",Custos!L21)</f>
        <v/>
      </c>
    </row>
    <row r="26" ht="12" customHeight="1">
      <c r="A26" s="386"/>
      <c r="B26" s="407">
        <v>8</v>
      </c>
      <c r="C26" s="408" t="s">
        <v>39</v>
      </c>
      <c r="D26" s="409" t="s">
        <v>25</v>
      </c>
      <c r="E26" s="409" t="s">
        <v>28</v>
      </c>
      <c r="F26" s="409" t="s">
        <v>23</v>
      </c>
      <c r="G26" s="410" t="s">
        <v>40</v>
      </c>
      <c r="H26" s="410"/>
      <c r="I26" s="316" t="str">
        <f>IF(Custos!L22="","",Custos!L22)</f>
        <v/>
      </c>
    </row>
    <row r="27" ht="12" customHeight="1">
      <c r="A27" s="386"/>
      <c r="B27" s="407">
        <v>9</v>
      </c>
      <c r="C27" s="408" t="s">
        <v>41</v>
      </c>
      <c r="D27" s="409" t="s">
        <v>25</v>
      </c>
      <c r="E27" s="409" t="s">
        <v>28</v>
      </c>
      <c r="F27" s="409" t="s">
        <v>26</v>
      </c>
      <c r="G27" s="410" t="s">
        <v>42</v>
      </c>
      <c r="H27" s="410"/>
      <c r="I27" s="316" t="str">
        <f>IF(Custos!L23="","",Custos!L23)</f>
        <v/>
      </c>
    </row>
    <row r="28" ht="12" customHeight="1">
      <c r="A28" s="386"/>
      <c r="B28" s="407">
        <v>10</v>
      </c>
      <c r="C28" s="408" t="s">
        <v>43</v>
      </c>
      <c r="D28" s="409" t="s">
        <v>25</v>
      </c>
      <c r="E28" s="409" t="s">
        <v>28</v>
      </c>
      <c r="F28" s="409" t="s">
        <v>26</v>
      </c>
      <c r="G28" s="412" t="s">
        <v>44</v>
      </c>
      <c r="H28" s="412"/>
      <c r="I28" s="316" t="str">
        <f>IF(Custos!L24="","",Custos!L24)</f>
        <v/>
      </c>
    </row>
    <row r="29" ht="12" customHeight="1">
      <c r="A29" s="386"/>
      <c r="B29" s="407">
        <v>11</v>
      </c>
      <c r="C29" s="408"/>
      <c r="D29" s="409"/>
      <c r="E29" s="409"/>
      <c r="F29" s="409"/>
      <c r="G29" s="410"/>
      <c r="H29" s="410"/>
      <c r="I29" s="316" t="str">
        <f>IF(Custos!L25="","",Custos!L25)</f>
        <v/>
      </c>
    </row>
    <row r="30" ht="12.75" customHeight="1">
      <c r="A30" s="386"/>
      <c r="B30" s="318"/>
      <c r="C30" s="318" t="s">
        <v>45</v>
      </c>
      <c r="D30" s="318"/>
      <c r="E30" s="318"/>
      <c r="F30" s="318"/>
      <c r="G30" s="318"/>
      <c r="H30" s="318"/>
      <c r="I30" s="323">
        <f>CustoIngredientes</f>
        <v>0</v>
      </c>
    </row>
    <row r="31" ht="12.75" customHeight="1">
      <c r="A31" s="386"/>
      <c r="B31" s="320"/>
      <c r="C31" s="320" t="s">
        <v>46</v>
      </c>
      <c r="D31" s="320"/>
      <c r="E31" s="320"/>
      <c r="F31" s="320"/>
      <c r="G31" s="320"/>
      <c r="H31" s="320"/>
      <c r="I31" s="324" t="str">
        <f>CustoTotalPorcao</f>
        <v/>
      </c>
    </row>
    <row r="32" ht="12.75" customHeight="1">
      <c r="A32" s="386"/>
      <c r="B32" s="318"/>
      <c r="C32" s="318" t="str">
        <f>IF(N(CMVDesejado)&gt;0,"PREÇO DE REFERÊNCIA POR PORÇÃO (CMV de "&amp;TEXT(CMVDesejado,"0%")&amp;")","PREÇO DE REFERÊNCIA POR PORÇÃO (CMV)")</f>
        <v>PREÇO DE REFERÊNCIA POR PORÇÃO (CMV de 30%)</v>
      </c>
      <c r="D32" s="318"/>
      <c r="E32" s="318"/>
      <c r="F32" s="318"/>
      <c r="G32" s="318"/>
      <c r="H32" s="318"/>
      <c r="I32" s="323" t="str">
        <f>PrecoSugerido</f>
        <v/>
      </c>
    </row>
    <row r="33" ht="12.75" customHeight="1">
      <c r="A33" s="386"/>
      <c r="B33" s="322"/>
      <c r="C33" s="322" t="s">
        <v>47</v>
      </c>
      <c r="D33" s="322"/>
      <c r="E33" s="322"/>
      <c r="F33" s="322"/>
      <c r="G33" s="322"/>
      <c r="H33" s="322"/>
      <c r="I33" s="325" t="str">
        <f>IF(PrecoNegocio="","–",PrecoNegocio)</f>
        <v>–</v>
      </c>
    </row>
    <row r="34" ht="12.75" customHeight="1">
      <c r="A34" s="386"/>
      <c r="B34" s="46"/>
      <c r="C34" s="46" t="s">
        <v>48</v>
      </c>
      <c r="D34" s="46"/>
      <c r="E34" s="46"/>
      <c r="F34" s="46"/>
      <c r="G34" s="46"/>
      <c r="H34" s="46"/>
      <c r="I34" s="326" t="str">
        <f>LucroReceita</f>
        <v/>
      </c>
    </row>
    <row r="35" ht="27" customHeight="1">
      <c r="A35" s="386"/>
      <c r="B35" s="421" t="s">
        <v>49</v>
      </c>
      <c r="C35" s="422"/>
      <c r="D35" s="422"/>
      <c r="E35" s="422"/>
      <c r="F35" s="422"/>
      <c r="G35" s="422"/>
      <c r="H35" s="422"/>
      <c r="I35" s="422"/>
    </row>
    <row r="36">
      <c r="A36" s="386"/>
      <c r="B36" s="386"/>
      <c r="C36" s="386"/>
      <c r="D36" s="386"/>
      <c r="E36" s="386"/>
      <c r="F36" s="386"/>
      <c r="G36" s="386"/>
      <c r="H36" s="386"/>
      <c r="I36" s="386"/>
    </row>
    <row r="37">
      <c r="A37" s="386"/>
      <c r="B37" s="423" t="s">
        <v>50</v>
      </c>
      <c r="C37" s="423"/>
      <c r="D37" s="423"/>
      <c r="E37" s="423"/>
      <c r="F37" s="423"/>
      <c r="G37" s="423"/>
      <c r="H37" s="423"/>
      <c r="I37" s="423"/>
    </row>
    <row r="38" ht="22.5" customHeight="1">
      <c r="A38" s="386"/>
      <c r="B38" s="424">
        <v>1</v>
      </c>
      <c r="C38" s="425" t="s">
        <v>51</v>
      </c>
      <c r="D38" s="425"/>
      <c r="E38" s="425"/>
      <c r="F38" s="425"/>
      <c r="G38" s="425"/>
      <c r="H38" s="425"/>
      <c r="I38" s="425"/>
    </row>
    <row r="39" ht="13.5" customHeight="1">
      <c r="A39" s="386"/>
      <c r="B39" s="424">
        <v>2</v>
      </c>
      <c r="C39" s="425" t="s">
        <v>52</v>
      </c>
      <c r="D39" s="425"/>
      <c r="E39" s="425"/>
      <c r="F39" s="425"/>
      <c r="G39" s="425"/>
      <c r="H39" s="425"/>
      <c r="I39" s="425"/>
    </row>
    <row r="40" ht="22.5" customHeight="1">
      <c r="A40" s="386"/>
      <c r="B40" s="424">
        <v>3</v>
      </c>
      <c r="C40" s="425" t="s">
        <v>53</v>
      </c>
      <c r="D40" s="425"/>
      <c r="E40" s="425"/>
      <c r="F40" s="425"/>
      <c r="G40" s="425"/>
      <c r="H40" s="425"/>
      <c r="I40" s="425"/>
    </row>
    <row r="41" ht="22.5" customHeight="1">
      <c r="A41" s="386"/>
      <c r="B41" s="424">
        <v>4</v>
      </c>
      <c r="C41" s="425" t="s">
        <v>54</v>
      </c>
      <c r="D41" s="425"/>
      <c r="E41" s="425"/>
      <c r="F41" s="425"/>
      <c r="G41" s="425"/>
      <c r="H41" s="425"/>
      <c r="I41" s="425"/>
    </row>
    <row r="42" ht="22.5" customHeight="1">
      <c r="A42" s="386"/>
      <c r="B42" s="424">
        <v>5</v>
      </c>
      <c r="C42" s="425" t="s">
        <v>55</v>
      </c>
      <c r="D42" s="425"/>
      <c r="E42" s="425"/>
      <c r="F42" s="425"/>
      <c r="G42" s="425"/>
      <c r="H42" s="425"/>
      <c r="I42" s="425"/>
    </row>
    <row r="43" ht="22.5" customHeight="1">
      <c r="A43" s="386"/>
      <c r="B43" s="424">
        <v>6</v>
      </c>
      <c r="C43" s="425" t="s">
        <v>56</v>
      </c>
      <c r="D43" s="425"/>
      <c r="E43" s="425"/>
      <c r="F43" s="425"/>
      <c r="G43" s="425"/>
      <c r="H43" s="425"/>
      <c r="I43" s="425"/>
    </row>
    <row r="44">
      <c r="A44" s="386"/>
      <c r="B44" s="386"/>
      <c r="C44" s="386"/>
      <c r="D44" s="386"/>
      <c r="E44" s="386"/>
      <c r="F44" s="386"/>
      <c r="G44" s="386"/>
      <c r="H44" s="386"/>
      <c r="I44" s="386"/>
    </row>
    <row r="45">
      <c r="A45" s="386"/>
      <c r="B45" s="423" t="s">
        <v>57</v>
      </c>
      <c r="C45" s="423"/>
      <c r="D45" s="423"/>
      <c r="E45" s="423"/>
      <c r="F45" s="386"/>
      <c r="G45" s="423" t="s">
        <v>58</v>
      </c>
      <c r="H45" s="423"/>
      <c r="I45" s="423"/>
    </row>
    <row r="46" ht="78" customHeight="1">
      <c r="A46" s="386"/>
      <c r="B46" s="426" t="s">
        <v>59</v>
      </c>
      <c r="C46" s="426"/>
      <c r="D46" s="426"/>
      <c r="E46" s="426"/>
      <c r="F46" s="427"/>
      <c r="G46" s="426" t="s">
        <v>60</v>
      </c>
      <c r="H46" s="426"/>
      <c r="I46" s="426"/>
    </row>
    <row r="47" ht="4.5" customHeight="1">
      <c r="A47" s="386"/>
      <c r="B47" s="389"/>
      <c r="C47" s="389"/>
      <c r="D47" s="389"/>
      <c r="E47" s="389"/>
      <c r="F47" s="389"/>
      <c r="G47" s="389"/>
      <c r="H47" s="389"/>
      <c r="I47" s="389"/>
    </row>
    <row r="48">
      <c r="A48" s="386"/>
      <c r="B48" s="423" t="s">
        <v>61</v>
      </c>
      <c r="C48" s="423"/>
      <c r="D48" s="423"/>
      <c r="E48" s="423"/>
      <c r="F48" s="386"/>
      <c r="G48" s="423" t="s">
        <v>62</v>
      </c>
      <c r="H48" s="423"/>
      <c r="I48" s="423"/>
    </row>
    <row r="49" ht="78" customHeight="1">
      <c r="A49" s="386"/>
      <c r="B49" s="426" t="s">
        <v>63</v>
      </c>
      <c r="C49" s="426"/>
      <c r="D49" s="426"/>
      <c r="E49" s="426"/>
      <c r="F49" s="427"/>
      <c r="G49" s="428" t="s">
        <v>64</v>
      </c>
      <c r="H49" s="428"/>
      <c r="I49" s="428"/>
    </row>
    <row r="50">
      <c r="A50" s="386"/>
      <c r="B50" s="386"/>
      <c r="C50" s="386"/>
      <c r="D50" s="386"/>
      <c r="E50" s="386"/>
      <c r="F50" s="386"/>
      <c r="G50" s="386"/>
      <c r="H50" s="386"/>
      <c r="I50" s="386"/>
    </row>
    <row r="51">
      <c r="A51" s="386"/>
      <c r="B51" s="429"/>
      <c r="C51" s="429"/>
      <c r="D51" s="429"/>
      <c r="E51" s="429"/>
      <c r="F51" s="429"/>
      <c r="G51" s="429"/>
      <c r="H51" s="429"/>
      <c r="I51" s="429"/>
    </row>
    <row r="52">
      <c r="A52" s="386"/>
      <c r="B52" s="429" t="s">
        <v>65</v>
      </c>
      <c r="C52" s="429"/>
      <c r="D52" s="429"/>
      <c r="E52" s="429"/>
      <c r="F52" s="429"/>
      <c r="G52" s="429"/>
      <c r="H52" s="429"/>
      <c r="I52" s="429"/>
    </row>
    <row r="53" ht="3" customHeight="1">
      <c r="A53" s="386"/>
      <c r="B53" s="386"/>
      <c r="C53" s="386"/>
      <c r="D53" s="386"/>
      <c r="E53" s="386"/>
      <c r="F53" s="386"/>
      <c r="G53" s="386"/>
      <c r="H53" s="386"/>
      <c r="I53" s="386"/>
    </row>
    <row r="54" ht="30" customHeight="1">
      <c r="A54" s="386"/>
      <c r="B54" s="430" t="s">
        <v>66</v>
      </c>
      <c r="C54" s="430"/>
      <c r="D54" s="430"/>
      <c r="E54" s="430"/>
      <c r="F54" s="430"/>
      <c r="G54" s="430"/>
      <c r="H54" s="386"/>
      <c r="I54" s="386"/>
    </row>
    <row r="55" ht="16.5" customHeight="1">
      <c r="A55" s="386"/>
      <c r="B55" s="295" t="str">
        <f>'Ficha Técnica'!D8</f>
        <v>Salada Morna Vegana de Trigo com Hortelã e Orange Pepper</v>
      </c>
      <c r="C55" s="295"/>
      <c r="D55" s="295"/>
      <c r="E55" s="295"/>
      <c r="F55" s="295"/>
      <c r="G55" s="295"/>
      <c r="H55" s="386"/>
      <c r="I55" s="386"/>
    </row>
    <row r="56" ht="4.5" customHeight="1">
      <c r="A56" s="386"/>
      <c r="B56" s="397"/>
      <c r="C56" s="398"/>
      <c r="D56" s="398"/>
      <c r="E56" s="398"/>
      <c r="F56" s="398"/>
      <c r="G56" s="398"/>
      <c r="H56" s="398"/>
      <c r="I56" s="398"/>
    </row>
    <row r="57" ht="16.5" customHeight="1">
      <c r="A57" s="386"/>
      <c r="B57" s="397"/>
      <c r="C57" s="399" t="s">
        <v>12</v>
      </c>
      <c r="D57" s="399"/>
      <c r="E57" s="399"/>
      <c r="F57" s="399"/>
      <c r="G57" s="399"/>
      <c r="H57" s="399"/>
      <c r="I57" s="399"/>
    </row>
    <row r="58" ht="22.5" customHeight="1">
      <c r="A58" s="386"/>
      <c r="B58" s="397"/>
      <c r="C58" s="400" t="s">
        <v>13</v>
      </c>
      <c r="D58" s="400"/>
      <c r="E58" s="400"/>
      <c r="F58" s="400"/>
      <c r="G58" s="400"/>
      <c r="H58" s="400"/>
      <c r="I58" s="400"/>
    </row>
    <row r="59" ht="4.5" customHeight="1">
      <c r="A59" s="386"/>
      <c r="B59" s="397"/>
      <c r="C59" s="398"/>
      <c r="D59" s="398"/>
      <c r="E59" s="398"/>
      <c r="F59" s="398"/>
      <c r="G59" s="398"/>
      <c r="H59" s="398"/>
      <c r="I59" s="398"/>
    </row>
    <row r="60" ht="6" customHeight="1">
      <c r="A60" s="386"/>
      <c r="B60" s="386"/>
      <c r="C60" s="386"/>
      <c r="D60" s="386"/>
      <c r="E60" s="386"/>
      <c r="F60" s="386"/>
      <c r="G60" s="386"/>
      <c r="H60" s="386"/>
      <c r="I60" s="386"/>
    </row>
    <row r="61">
      <c r="A61" s="386"/>
      <c r="B61" s="423" t="s">
        <v>67</v>
      </c>
      <c r="C61" s="423"/>
      <c r="D61" s="423"/>
      <c r="E61" s="423"/>
      <c r="F61" s="423"/>
      <c r="G61" s="423"/>
      <c r="H61" s="423"/>
      <c r="I61" s="423"/>
    </row>
    <row r="62" ht="19.5" customHeight="1">
      <c r="A62" s="386"/>
      <c r="B62" s="401" t="s">
        <v>14</v>
      </c>
      <c r="C62" s="401" t="s">
        <v>68</v>
      </c>
      <c r="D62" s="401" t="s">
        <v>69</v>
      </c>
      <c r="E62" s="401"/>
      <c r="F62" s="401" t="s">
        <v>70</v>
      </c>
      <c r="G62" s="401" t="s">
        <v>71</v>
      </c>
      <c r="H62" s="401" t="s">
        <v>72</v>
      </c>
      <c r="I62" s="401" t="s">
        <v>20</v>
      </c>
    </row>
    <row r="63" ht="12" customHeight="1">
      <c r="A63" s="386"/>
      <c r="B63" s="311">
        <v>1</v>
      </c>
      <c r="C63" s="251" t="str">
        <f>Custos!C15</f>
        <v>Trigo para Kibe PQ</v>
      </c>
      <c r="D63" s="252" t="str">
        <f>IF(Custos!F15="","",Custos!F15&amp;" "&amp;Custos!G15)</f>
        <v/>
      </c>
      <c r="E63" s="252"/>
      <c r="F63" s="271" t="str">
        <f>IF(Custos!H15="",IF(Custos!C15="","",IF(Custos!E15="a gosto (fora da conta)","a gosto","falta")),Custos!H15)</f>
        <v>falta</v>
      </c>
      <c r="G63" s="345">
        <f>IF(Custos!J15="","",Custos!J15)</f>
        <v>200</v>
      </c>
      <c r="H63" s="275" t="str">
        <f>IF(Custos!M15="","",Custos!M15)</f>
        <v/>
      </c>
      <c r="I63" s="315" t="str">
        <f>IF(Custos!L15="","",Custos!L15)</f>
        <v/>
      </c>
    </row>
    <row r="64" ht="12" customHeight="1">
      <c r="A64" s="386"/>
      <c r="B64" s="312">
        <v>2</v>
      </c>
      <c r="C64" s="253" t="str">
        <f>Custos!C16</f>
        <v>Água bem quente</v>
      </c>
      <c r="D64" s="254" t="str">
        <f>IF(Custos!F16="","",Custos!F16&amp;" "&amp;Custos!G16)</f>
        <v/>
      </c>
      <c r="E64" s="254"/>
      <c r="F64" s="272" t="str">
        <f>IF(Custos!H16="",IF(Custos!C16="","",IF(Custos!E16="a gosto (fora da conta)","a gosto","falta")),Custos!H16)</f>
        <v>falta</v>
      </c>
      <c r="G64" s="346">
        <f>IF(Custos!J16="","",Custos!J16)</f>
        <v>500</v>
      </c>
      <c r="H64" s="276" t="str">
        <f>IF(Custos!M16="","",Custos!M16)</f>
        <v/>
      </c>
      <c r="I64" s="316" t="str">
        <f>IF(Custos!L16="","",Custos!L16)</f>
        <v/>
      </c>
    </row>
    <row r="65" ht="12" customHeight="1">
      <c r="A65" s="386"/>
      <c r="B65" s="312">
        <v>3</v>
      </c>
      <c r="C65" s="253" t="str">
        <f>Custos!C17</f>
        <v>Hortelã fresca (folhas)</v>
      </c>
      <c r="D65" s="254" t="str">
        <f>IF(Custos!F17="","",Custos!F17&amp;" "&amp;Custos!G17)</f>
        <v/>
      </c>
      <c r="E65" s="254"/>
      <c r="F65" s="272" t="str">
        <f>IF(Custos!H17="",IF(Custos!C17="","",IF(Custos!E17="a gosto (fora da conta)","a gosto","falta")),Custos!H17)</f>
        <v>a gosto</v>
      </c>
      <c r="G65" s="346" t="str">
        <f>IF(Custos!J17="","",Custos!J17)</f>
        <v/>
      </c>
      <c r="H65" s="276" t="str">
        <f>IF(Custos!M17="","",Custos!M17)</f>
        <v/>
      </c>
      <c r="I65" s="316" t="str">
        <f>IF(Custos!L17="","",Custos!L17)</f>
        <v/>
      </c>
    </row>
    <row r="66" ht="12" customHeight="1">
      <c r="A66" s="386"/>
      <c r="B66" s="312">
        <v>4</v>
      </c>
      <c r="C66" s="253" t="str">
        <f>Custos!C18</f>
        <v>Pepino comum</v>
      </c>
      <c r="D66" s="254" t="str">
        <f>IF(Custos!F18="","",Custos!F18&amp;" "&amp;Custos!G18)</f>
        <v/>
      </c>
      <c r="E66" s="254"/>
      <c r="F66" s="272" t="str">
        <f>IF(Custos!H18="",IF(Custos!C18="","",IF(Custos!E18="a gosto (fora da conta)","a gosto","falta")),Custos!H18)</f>
        <v>falta</v>
      </c>
      <c r="G66" s="346">
        <f>IF(Custos!J18="","",Custos!J18)</f>
        <v>1</v>
      </c>
      <c r="H66" s="276" t="str">
        <f>IF(Custos!M18="","",Custos!M18)</f>
        <v/>
      </c>
      <c r="I66" s="316" t="str">
        <f>IF(Custos!L18="","",Custos!L18)</f>
        <v/>
      </c>
    </row>
    <row r="67" ht="12" customHeight="1">
      <c r="A67" s="386"/>
      <c r="B67" s="312">
        <v>5</v>
      </c>
      <c r="C67" s="253" t="str">
        <f>Custos!C19</f>
        <v>Tomate grande</v>
      </c>
      <c r="D67" s="254" t="str">
        <f>IF(Custos!F19="","",Custos!F19&amp;" "&amp;Custos!G19)</f>
        <v/>
      </c>
      <c r="E67" s="254"/>
      <c r="F67" s="272" t="str">
        <f>IF(Custos!H19="",IF(Custos!C19="","",IF(Custos!E19="a gosto (fora da conta)","a gosto","falta")),Custos!H19)</f>
        <v>falta</v>
      </c>
      <c r="G67" s="346">
        <f>IF(Custos!J19="","",Custos!J19)</f>
        <v>1</v>
      </c>
      <c r="H67" s="276" t="str">
        <f>IF(Custos!M19="","",Custos!M19)</f>
        <v/>
      </c>
      <c r="I67" s="316" t="str">
        <f>IF(Custos!L19="","",Custos!L19)</f>
        <v/>
      </c>
    </row>
    <row r="68" ht="12" customHeight="1">
      <c r="A68" s="386"/>
      <c r="B68" s="312">
        <v>6</v>
      </c>
      <c r="C68" s="253" t="str">
        <f>Custos!C20</f>
        <v>Laranja-baía (só as raspas)</v>
      </c>
      <c r="D68" s="254" t="str">
        <f>IF(Custos!F20="","",Custos!F20&amp;" "&amp;Custos!G20)</f>
        <v/>
      </c>
      <c r="E68" s="254"/>
      <c r="F68" s="272" t="str">
        <f>IF(Custos!H20="",IF(Custos!C20="","",IF(Custos!E20="a gosto (fora da conta)","a gosto","falta")),Custos!H20)</f>
        <v>falta</v>
      </c>
      <c r="G68" s="346">
        <f>IF(Custos!J20="","",Custos!J20)</f>
        <v>1</v>
      </c>
      <c r="H68" s="276" t="str">
        <f>IF(Custos!M20="","",Custos!M20)</f>
        <v/>
      </c>
      <c r="I68" s="316" t="str">
        <f>IF(Custos!L20="","",Custos!L20)</f>
        <v/>
      </c>
    </row>
    <row r="69" ht="12" customHeight="1">
      <c r="A69" s="386"/>
      <c r="B69" s="312">
        <v>7</v>
      </c>
      <c r="C69" s="253" t="str">
        <f>Custos!C21</f>
        <v>Pimenta Calabresa PQ</v>
      </c>
      <c r="D69" s="254" t="str">
        <f>IF(Custos!F21="","",Custos!F21&amp;" "&amp;Custos!G21)</f>
        <v/>
      </c>
      <c r="E69" s="254"/>
      <c r="F69" s="272" t="str">
        <f>IF(Custos!H21="",IF(Custos!C21="","",IF(Custos!E21="a gosto (fora da conta)","a gosto","falta")),Custos!H21)</f>
        <v>falta</v>
      </c>
      <c r="G69" s="346">
        <f>IF(Custos!J21="","",Custos!J21)</f>
        <v>2</v>
      </c>
      <c r="H69" s="276" t="str">
        <f>IF(Custos!M21="","",Custos!M21)</f>
        <v/>
      </c>
      <c r="I69" s="316" t="str">
        <f>IF(Custos!L21="","",Custos!L21)</f>
        <v/>
      </c>
    </row>
    <row r="70" ht="12" customHeight="1">
      <c r="A70" s="386"/>
      <c r="B70" s="312">
        <v>8</v>
      </c>
      <c r="C70" s="253" t="str">
        <f>Custos!C22</f>
        <v>Sal</v>
      </c>
      <c r="D70" s="254" t="str">
        <f>IF(Custos!F22="","",Custos!F22&amp;" "&amp;Custos!G22)</f>
        <v/>
      </c>
      <c r="E70" s="254"/>
      <c r="F70" s="272" t="str">
        <f>IF(Custos!H22="",IF(Custos!C22="","",IF(Custos!E22="a gosto (fora da conta)","a gosto","falta")),Custos!H22)</f>
        <v>falta</v>
      </c>
      <c r="G70" s="346">
        <f>IF(Custos!J22="","",Custos!J22)</f>
        <v>2</v>
      </c>
      <c r="H70" s="276" t="str">
        <f>IF(Custos!M22="","",Custos!M22)</f>
        <v/>
      </c>
      <c r="I70" s="316" t="str">
        <f>IF(Custos!L22="","",Custos!L22)</f>
        <v/>
      </c>
    </row>
    <row r="71" ht="12" customHeight="1">
      <c r="A71" s="386"/>
      <c r="B71" s="312">
        <v>9</v>
      </c>
      <c r="C71" s="253" t="str">
        <f>Custos!C23</f>
        <v>Azeite (fio na salada)</v>
      </c>
      <c r="D71" s="254" t="str">
        <f>IF(Custos!F23="","",Custos!F23&amp;" "&amp;Custos!G23)</f>
        <v/>
      </c>
      <c r="E71" s="254"/>
      <c r="F71" s="272" t="str">
        <f>IF(Custos!H23="",IF(Custos!C23="","",IF(Custos!E23="a gosto (fora da conta)","a gosto","falta")),Custos!H23)</f>
        <v>falta</v>
      </c>
      <c r="G71" s="346">
        <f>IF(Custos!J23="","",Custos!J23)</f>
        <v>15</v>
      </c>
      <c r="H71" s="276" t="str">
        <f>IF(Custos!M23="","",Custos!M23)</f>
        <v/>
      </c>
      <c r="I71" s="316" t="str">
        <f>IF(Custos!L23="","",Custos!L23)</f>
        <v/>
      </c>
    </row>
    <row r="72" ht="12" customHeight="1">
      <c r="A72" s="386"/>
      <c r="B72" s="312">
        <v>10</v>
      </c>
      <c r="C72" s="253" t="str">
        <f>Custos!C24</f>
        <v>Azeite (fundo do prato)</v>
      </c>
      <c r="D72" s="254" t="str">
        <f>IF(Custos!F24="","",Custos!F24&amp;" "&amp;Custos!G24)</f>
        <v/>
      </c>
      <c r="E72" s="254"/>
      <c r="F72" s="272" t="str">
        <f>IF(Custos!H24="",IF(Custos!C24="","",IF(Custos!E24="a gosto (fora da conta)","a gosto","falta")),Custos!H24)</f>
        <v>a gosto</v>
      </c>
      <c r="G72" s="346" t="str">
        <f>IF(Custos!J24="","",Custos!J24)</f>
        <v/>
      </c>
      <c r="H72" s="276" t="str">
        <f>IF(Custos!M24="","",Custos!M24)</f>
        <v/>
      </c>
      <c r="I72" s="316" t="str">
        <f>IF(Custos!L24="","",Custos!L24)</f>
        <v/>
      </c>
    </row>
    <row r="73" ht="12" customHeight="1">
      <c r="A73" s="386"/>
      <c r="B73" s="312">
        <v>11</v>
      </c>
      <c r="C73" s="253" t="str">
        <f>Custos!C25</f>
        <v/>
      </c>
      <c r="D73" s="254" t="str">
        <f>IF(Custos!F25="","",Custos!F25&amp;" "&amp;Custos!G25)</f>
        <v/>
      </c>
      <c r="E73" s="254"/>
      <c r="F73" s="272" t="str">
        <f>IF(Custos!H25="",IF(Custos!C25="","",IF(Custos!E25="a gosto (fora da conta)","a gosto","falta")),Custos!H25)</f>
        <v/>
      </c>
      <c r="G73" s="346" t="str">
        <f>IF(Custos!J25="","",Custos!J25)</f>
        <v/>
      </c>
      <c r="H73" s="276" t="str">
        <f>IF(Custos!M25="","",Custos!M25)</f>
        <v/>
      </c>
      <c r="I73" s="316" t="str">
        <f>IF(Custos!L25="","",Custos!L25)</f>
        <v/>
      </c>
    </row>
    <row r="74">
      <c r="A74" s="386"/>
      <c r="B74" s="386"/>
      <c r="C74" s="386"/>
      <c r="D74" s="386"/>
      <c r="E74" s="386"/>
      <c r="F74" s="386"/>
      <c r="G74" s="386"/>
      <c r="H74" s="386"/>
      <c r="I74" s="386"/>
    </row>
    <row r="75">
      <c r="A75" s="386"/>
      <c r="B75" s="423" t="s">
        <v>73</v>
      </c>
      <c r="C75" s="423"/>
      <c r="D75" s="423"/>
      <c r="E75" s="423"/>
      <c r="F75" s="386"/>
      <c r="G75" s="423" t="s">
        <v>74</v>
      </c>
      <c r="H75" s="423"/>
      <c r="I75" s="423"/>
    </row>
    <row r="76" ht="14.25" customHeight="1">
      <c r="A76" s="386"/>
      <c r="B76" s="440" t="s">
        <v>75</v>
      </c>
      <c r="C76" s="440"/>
      <c r="D76" s="177">
        <f>CustoIngredientes</f>
        <v>0</v>
      </c>
      <c r="E76" s="178"/>
      <c r="F76" s="386"/>
      <c r="G76" s="205" t="str">
        <f>IFERROR(INDEX($C$63:$C$73,MATCH(LARGE($I$63:$I$73,1),$I$63:$I$73,0)),"")</f>
        <v/>
      </c>
      <c r="H76" s="205"/>
      <c r="I76" s="205"/>
    </row>
    <row r="77" ht="14.25" customHeight="1">
      <c r="A77" s="386"/>
      <c r="B77" s="440" t="s">
        <v>76</v>
      </c>
      <c r="C77" s="440"/>
      <c r="D77" s="177" t="str">
        <f>CustoIngrPorcao</f>
        <v/>
      </c>
      <c r="E77" s="178"/>
      <c r="F77" s="386"/>
      <c r="G77" s="376" t="str">
        <f>IFERROR(LARGE($I$63:$I$73,1),"")</f>
        <v/>
      </c>
      <c r="H77" s="374" t="str">
        <f>IFERROR(LARGE($I$63:$I$73,1)/SUM($I$63:$I$73),"")</f>
        <v/>
      </c>
      <c r="I77" s="195"/>
    </row>
    <row r="78" ht="14.25" customHeight="1">
      <c r="A78" s="386"/>
      <c r="B78" s="440" t="s">
        <v>77</v>
      </c>
      <c r="C78" s="440"/>
      <c r="D78" s="177" t="str">
        <f>PerdasPorcao</f>
        <v/>
      </c>
      <c r="E78" s="178"/>
      <c r="F78" s="386"/>
    </row>
    <row r="79" ht="14.25" customHeight="1">
      <c r="A79" s="386"/>
      <c r="B79" s="440" t="s">
        <v>78</v>
      </c>
      <c r="C79" s="440"/>
      <c r="D79" s="177" t="str">
        <f>EmbalagemPorcao</f>
        <v/>
      </c>
      <c r="E79" s="178"/>
      <c r="F79" s="386"/>
      <c r="G79" s="205" t="str">
        <f>IFERROR(INDEX($C$63:$C$73,MATCH(LARGE($I$63:$I$73,2),$I$63:$I$73,0)),"")</f>
        <v/>
      </c>
      <c r="H79" s="205"/>
      <c r="I79" s="205"/>
    </row>
    <row r="80" ht="21" customHeight="1">
      <c r="A80" s="386"/>
      <c r="B80" s="447" t="s">
        <v>79</v>
      </c>
      <c r="C80" s="447"/>
      <c r="D80" s="95" t="str">
        <f>CustoTotalPorcao</f>
        <v/>
      </c>
      <c r="E80" s="363"/>
      <c r="F80" s="386"/>
      <c r="G80" s="376" t="str">
        <f>IFERROR(LARGE($I$63:$I$73,2),"")</f>
        <v/>
      </c>
      <c r="H80" s="374" t="str">
        <f>IFERROR(LARGE($I$63:$I$73,2)/SUM($I$63:$I$73),"")</f>
        <v/>
      </c>
      <c r="I80" s="195"/>
    </row>
    <row r="81" ht="14.25" customHeight="1">
      <c r="A81" s="386"/>
      <c r="B81" s="440" t="s">
        <v>80</v>
      </c>
      <c r="C81" s="440"/>
      <c r="D81" s="352">
        <f>IF(N(CMVDesejado)&gt;0,CMVDesejado,"")</f>
        <v>0.3</v>
      </c>
      <c r="E81" s="178"/>
      <c r="F81" s="386"/>
    </row>
    <row r="82" ht="14.25" customHeight="1">
      <c r="A82" s="386"/>
      <c r="B82" s="443" t="s">
        <v>81</v>
      </c>
      <c r="C82" s="443"/>
      <c r="D82" s="206" t="str">
        <f>PrecoSugerido</f>
        <v/>
      </c>
      <c r="E82" s="207"/>
      <c r="F82" s="386"/>
      <c r="G82" s="205" t="str">
        <f>IFERROR(INDEX($C$63:$C$73,MATCH(LARGE($I$63:$I$73,3),$I$63:$I$73,0)),"")</f>
        <v/>
      </c>
      <c r="H82" s="205"/>
      <c r="I82" s="205"/>
    </row>
    <row r="83" ht="14.25" customHeight="1">
      <c r="A83" s="386"/>
      <c r="B83" s="440" t="s">
        <v>82</v>
      </c>
      <c r="C83" s="440"/>
      <c r="D83" s="177" t="str">
        <f>LucroPorcao</f>
        <v/>
      </c>
      <c r="E83" s="178"/>
      <c r="F83" s="386"/>
      <c r="G83" s="376" t="str">
        <f>IFERROR(LARGE($I$63:$I$73,3),"")</f>
        <v/>
      </c>
      <c r="H83" s="374" t="str">
        <f>IFERROR(LARGE($I$63:$I$73,3)/SUM($I$63:$I$73),"")</f>
        <v/>
      </c>
      <c r="I83" s="195"/>
    </row>
    <row r="84" ht="14.25" customHeight="1">
      <c r="A84" s="386"/>
      <c r="B84" s="443" t="s">
        <v>83</v>
      </c>
      <c r="C84" s="443"/>
      <c r="D84" s="206" t="str">
        <f>IF(PrecoNegocio="","–",PrecoNegocio)</f>
        <v>–</v>
      </c>
      <c r="E84" s="207"/>
      <c r="F84" s="386"/>
      <c r="G84" s="386"/>
      <c r="H84" s="386"/>
      <c r="I84" s="386"/>
    </row>
    <row r="85" ht="14.25" customHeight="1">
      <c r="A85" s="386"/>
      <c r="B85" s="453" t="s">
        <v>84</v>
      </c>
      <c r="C85" s="453"/>
      <c r="D85" s="209">
        <f>RendimentoReceita</f>
        <v>4</v>
      </c>
      <c r="E85" s="210"/>
      <c r="F85" s="386"/>
      <c r="G85" s="456" t="s">
        <v>85</v>
      </c>
      <c r="H85" s="456"/>
      <c r="I85" s="456"/>
    </row>
    <row r="86" ht="14.25" customHeight="1">
      <c r="A86" s="386"/>
      <c r="B86" s="446" t="s">
        <v>86</v>
      </c>
      <c r="C86" s="446"/>
      <c r="D86" s="198" t="str">
        <f>Faturamento</f>
        <v/>
      </c>
      <c r="E86" s="197"/>
      <c r="F86" s="386"/>
      <c r="G86" s="456"/>
      <c r="H86" s="456"/>
      <c r="I86" s="456"/>
    </row>
    <row r="87" ht="14.25" customHeight="1">
      <c r="A87" s="386"/>
      <c r="B87" s="446" t="s">
        <v>87</v>
      </c>
      <c r="C87" s="446"/>
      <c r="D87" s="198" t="str">
        <f>CustoReceita</f>
        <v/>
      </c>
      <c r="E87" s="197"/>
      <c r="F87" s="386"/>
      <c r="G87" s="456"/>
      <c r="H87" s="456"/>
      <c r="I87" s="456"/>
    </row>
    <row r="88" ht="18" customHeight="1">
      <c r="A88" s="386"/>
      <c r="B88" s="459" t="s">
        <v>88</v>
      </c>
      <c r="C88" s="459"/>
      <c r="D88" s="357" t="str">
        <f>LucroReceita</f>
        <v/>
      </c>
      <c r="E88" s="358"/>
      <c r="F88" s="386"/>
      <c r="G88" s="386"/>
      <c r="H88" s="386"/>
      <c r="I88" s="386"/>
    </row>
    <row r="89">
      <c r="A89" s="386"/>
      <c r="B89" s="386"/>
      <c r="C89" s="386"/>
      <c r="D89" s="386"/>
      <c r="E89" s="386"/>
      <c r="F89" s="386"/>
      <c r="G89" s="386"/>
      <c r="H89" s="386"/>
      <c r="I89" s="386"/>
    </row>
    <row r="90" ht="36" customHeight="1">
      <c r="A90" s="386"/>
      <c r="B90" s="462" t="s">
        <v>89</v>
      </c>
      <c r="C90" s="462"/>
      <c r="D90" s="462"/>
      <c r="E90" s="462"/>
      <c r="F90" s="462"/>
      <c r="G90" s="462"/>
      <c r="H90" s="462"/>
      <c r="I90" s="462"/>
    </row>
    <row r="91">
      <c r="A91" s="386"/>
      <c r="B91" s="429" t="s">
        <v>90</v>
      </c>
      <c r="C91" s="429"/>
      <c r="D91" s="429"/>
      <c r="E91" s="429"/>
      <c r="F91" s="429"/>
      <c r="G91" s="429"/>
      <c r="H91" s="429"/>
      <c r="I91" s="429"/>
    </row>
  </sheetData>
  <sheetProtection sheet="1" objects="1" scenarios="1" formatColumns="0" formatRows="0"/>
  <mergeCells count="94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B35:I35"/>
    <mergeCell ref="C38:I38"/>
    <mergeCell ref="C39:I39"/>
    <mergeCell ref="C40:I40"/>
    <mergeCell ref="C41:I41"/>
    <mergeCell ref="C42:I42"/>
    <mergeCell ref="C43:I43"/>
    <mergeCell ref="B46:E46"/>
    <mergeCell ref="G46:I46"/>
    <mergeCell ref="B49:E49"/>
    <mergeCell ref="G49:I49"/>
    <mergeCell ref="B52:I52"/>
    <mergeCell ref="B54:G54"/>
    <mergeCell ref="B55:G55"/>
    <mergeCell ref="B56:B59"/>
    <mergeCell ref="C57:I57"/>
    <mergeCell ref="C58:I58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G76:I76"/>
    <mergeCell ref="H77:I77"/>
    <mergeCell ref="G79:I79"/>
    <mergeCell ref="H80:I80"/>
    <mergeCell ref="G82:I82"/>
    <mergeCell ref="H83:I83"/>
    <mergeCell ref="G85:I87"/>
    <mergeCell ref="B90:I90"/>
    <mergeCell ref="B91:I91"/>
  </mergeCells>
  <conditionalFormatting sqref="G82">
    <cfRule type="expression" dxfId="0" priority="1">
      <formula>COUNTIFS('Ficha Técnica'!$C$19:$C$29,G82,'Ficha Técnica'!$D$19:$D$29,"Sim")&gt;0</formula>
    </cfRule>
  </conditionalFormatting>
  <conditionalFormatting sqref="G79">
    <cfRule type="expression" dxfId="0" priority="2">
      <formula>COUNTIFS('Ficha Técnica'!$C$19:$C$29,G79,'Ficha Técnica'!$D$19:$D$29,"Sim")&gt;0</formula>
    </cfRule>
  </conditionalFormatting>
  <conditionalFormatting sqref="G76">
    <cfRule type="expression" dxfId="0" priority="3">
      <formula>COUNTIFS('Ficha Técnica'!$C$19:$C$29,G76,'Ficha Técnica'!$D$19:$D$29,"Sim")&gt;0</formula>
    </cfRule>
  </conditionalFormatting>
  <conditionalFormatting sqref="C63:C73">
    <cfRule type="expression" dxfId="0" priority="4">
      <formula>$D19="Sim"</formula>
    </cfRule>
  </conditionalFormatting>
  <conditionalFormatting sqref="F63:F73">
    <cfRule type="expression" dxfId="1" priority="5">
      <formula>$F63="falta"</formula>
    </cfRule>
  </conditionalFormatting>
  <conditionalFormatting sqref="H63:H73">
    <cfRule type="dataBar" priority="6">
      <dataBar>
        <cfvo type="min"/>
        <cfvo type="max"/>
        <color rgb="FF0D6EB0"/>
      </dataBar>
    </cfRule>
  </conditionalFormatting>
  <conditionalFormatting sqref="C19:C29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9">
      <formula1>"Sim,Não"</formula1>
    </dataValidation>
    <dataValidation type="list" allowBlank="1" showInputMessage="1" showErrorMessage="1" sqref="F19:F29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6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3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91</v>
      </c>
      <c r="C6" s="4"/>
      <c r="D6" s="4"/>
      <c r="E6" s="4"/>
      <c r="F6" s="4"/>
      <c r="G6" s="4"/>
      <c r="H6" s="4"/>
      <c r="J6" s="133" t="s">
        <v>92</v>
      </c>
      <c r="K6" s="134"/>
      <c r="L6" s="134"/>
      <c r="M6" s="134"/>
      <c r="N6" s="135"/>
    </row>
    <row r="7">
      <c r="B7" s="6" t="str">
        <f>'Ficha Técnica'!D8</f>
        <v>Salada Morna Vegana de Trigo com Hortelã e Orange Pepper</v>
      </c>
      <c r="C7" s="6"/>
      <c r="D7" s="6"/>
      <c r="E7" s="6"/>
      <c r="F7" s="6"/>
      <c r="G7" s="6"/>
      <c r="H7" s="6"/>
      <c r="J7" s="139" t="s">
        <v>93</v>
      </c>
      <c r="K7" s="139"/>
      <c r="L7" s="139"/>
      <c r="M7" s="139"/>
      <c r="N7" s="139"/>
    </row>
    <row r="8" ht="7.5" customHeight="1"/>
    <row r="9" ht="13.5" customHeight="1">
      <c r="B9" s="212" t="s">
        <v>79</v>
      </c>
      <c r="C9" s="212"/>
      <c r="D9" s="226" t="s">
        <v>94</v>
      </c>
      <c r="E9" s="226"/>
      <c r="F9" s="226" t="s">
        <v>83</v>
      </c>
      <c r="G9" s="226"/>
      <c r="H9" s="226"/>
      <c r="I9" s="226" t="s">
        <v>95</v>
      </c>
      <c r="J9" s="226"/>
      <c r="K9" s="226"/>
      <c r="L9" s="226"/>
      <c r="M9" s="226" t="s">
        <v>96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SUMPRODUCT((C15:C25&lt;&gt;"")*(E15:E25&lt;&gt;"a gosto (fora da conta)")*(H15:H25&lt;&gt;""))&amp;" de "&amp;SUMPRODUCT((C15:C25&lt;&gt;"")*(E15:E25&lt;&gt;"a gosto (fora da conta)"))</f>
        <v>0 de 8</v>
      </c>
      <c r="N10" s="234"/>
      <c r="O10" s="234"/>
    </row>
    <row r="11" ht="9" customHeight="1"/>
    <row r="12" ht="22.5" customHeight="1">
      <c r="B12" s="235" t="s">
        <v>97</v>
      </c>
      <c r="C12" s="235"/>
      <c r="D12" s="235"/>
      <c r="E12" s="235"/>
      <c r="F12" s="239" t="s">
        <v>98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99</v>
      </c>
      <c r="C13" s="243"/>
      <c r="D13" s="243"/>
      <c r="E13" s="243"/>
      <c r="F13" s="247" t="s">
        <v>100</v>
      </c>
      <c r="G13" s="247"/>
      <c r="H13" s="247"/>
      <c r="I13" s="247"/>
      <c r="J13" s="248" t="s">
        <v>101</v>
      </c>
      <c r="K13" s="248"/>
      <c r="L13" s="248"/>
      <c r="M13" s="248"/>
      <c r="N13" s="248"/>
      <c r="O13" s="243" t="s">
        <v>102</v>
      </c>
    </row>
    <row r="14" ht="34.5" customHeight="1">
      <c r="B14" s="249" t="s">
        <v>14</v>
      </c>
      <c r="C14" s="249" t="s">
        <v>68</v>
      </c>
      <c r="D14" s="249" t="s">
        <v>103</v>
      </c>
      <c r="E14" s="249" t="s">
        <v>104</v>
      </c>
      <c r="F14" s="249" t="s">
        <v>105</v>
      </c>
      <c r="G14" s="249" t="s">
        <v>106</v>
      </c>
      <c r="H14" s="249" t="s">
        <v>107</v>
      </c>
      <c r="I14" s="249" t="s">
        <v>108</v>
      </c>
      <c r="J14" s="249" t="s">
        <v>109</v>
      </c>
      <c r="K14" s="249" t="s">
        <v>110</v>
      </c>
      <c r="L14" s="249" t="s">
        <v>111</v>
      </c>
      <c r="M14" s="249" t="s">
        <v>72</v>
      </c>
      <c r="N14" s="249" t="s">
        <v>112</v>
      </c>
      <c r="O14" s="249" t="s">
        <v>113</v>
      </c>
    </row>
    <row r="15" ht="12.75" customHeight="1">
      <c r="B15" s="251">
        <v>1</v>
      </c>
      <c r="C15" s="251" t="str">
        <f>IF('Ficha Técnica'!C19="","",'Ficha Técnica'!C19)</f>
        <v>Trigo para Kibe PQ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200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200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IF(OR(L15="",N(L26)&lt;=0),"",L15/L26)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Água bem quente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500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500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IF(OR(L16="",N(L26)&lt;=0),"",L16/L26)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Hortelã fresca (folhas)</v>
      </c>
      <c r="D17" s="264" cm="1" t="str">
        <f t="array" ref="D17">IF(C17="","",IF(N('Ficha Técnica'!E21)&gt;0,'Ficha Técnica'!E21*IF('Ficha Técnica'!F21="",1,IFERROR(INDEX({1,1000,1,1000,1},MATCH('Ficha Técnica'!F21,{"g","kg","ml","L","un"},0)),"")),""))</f>
        <v/>
      </c>
      <c r="E17" s="254" t="str">
        <f>IF(C17="","",IF(LOWER('Ficha Técnica'!E21)="qb","a gosto (fora da conta)",IF(N('Ficha Técnica'!E21)&gt;0,IF(O17="x","⚠️ estimada","informada"),"⚠️ falta quantidade")))</f>
        <v>a gosto (fora da conta)</v>
      </c>
      <c r="F17" s="262"/>
      <c r="G17" s="262"/>
      <c r="H17" s="267"/>
      <c r="I17" s="266"/>
      <c r="J17" s="264" t="str">
        <f>IF(D17="","",D17*IF(N(I17)&gt;0,I17,1))</f>
        <v/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IF(OR(L17="",N(L26)&lt;=0),"",L17/L26)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/>
      </c>
      <c r="O17" s="262"/>
    </row>
    <row r="18" ht="12.75" customHeight="1">
      <c r="B18" s="253">
        <v>4</v>
      </c>
      <c r="C18" s="253" t="str">
        <f>IF('Ficha Técnica'!C22="","",'Ficha Técnica'!C22)</f>
        <v>Pepino comum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1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1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IF(OR(L18="",N(L26)&lt;=0),"",L18/L26)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Tomate grande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1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1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IF(OR(L19="",N(L26)&lt;=0),"",L19/L26)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Laranja-baía (só as raspas)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1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1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IF(OR(L20="",N(L26)&lt;=0),"",L20/L26)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Pimenta Calabresa PQ</v>
      </c>
      <c r="D21" s="264">
        <v>2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2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IF(OR(L21="",N(L26)&lt;=0),"",L21/L26)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Sal</v>
      </c>
      <c r="D22" s="264">
        <v>2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2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IF(OR(L22="",N(L26)&lt;=0),"",L22/L26)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Azeite (fio na salada)</v>
      </c>
      <c r="D23" s="264">
        <v>15</v>
      </c>
      <c r="E23" s="254" t="str">
        <f>IF(C23="","","⚠️ a gosto (máximo)")</f>
        <v>⚠️ a gosto (máximo)</v>
      </c>
      <c r="F23" s="262"/>
      <c r="G23" s="262"/>
      <c r="H23" s="267"/>
      <c r="I23" s="266"/>
      <c r="J23" s="264">
        <f>IF(D23="","",D23*IF(N(I23)&gt;0,I23,1))</f>
        <v>15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IF(OR(L23="",N(L26)&lt;=0),"",L23/L26)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3">
        <v>10</v>
      </c>
      <c r="C24" s="253" t="str">
        <f>IF('Ficha Técnica'!C28="","",'Ficha Técnica'!C28)</f>
        <v>Azeite (fundo do prato)</v>
      </c>
      <c r="D24" s="264" cm="1" t="str">
        <f t="array" ref="D24">IF(C24="","",IF(N('Ficha Técnica'!E28)&gt;0,'Ficha Técnica'!E28*IF('Ficha Técnica'!F28="",1,IFERROR(INDEX({1,1000,1,1000,1},MATCH('Ficha Técnica'!F28,{"g","kg","ml","L","un"},0)),"")),""))</f>
        <v/>
      </c>
      <c r="E24" s="254" t="str">
        <f>IF(C24="","",IF(LOWER('Ficha Técnica'!E28)="qb","a gosto (fora da conta)",IF(N('Ficha Técnica'!E28)&gt;0,IF(O24="x","⚠️ estimada","informada"),"⚠️ falta quantidade")))</f>
        <v>a gosto (fora da conta)</v>
      </c>
      <c r="F24" s="262"/>
      <c r="G24" s="262"/>
      <c r="H24" s="267"/>
      <c r="I24" s="266"/>
      <c r="J24" s="264" t="str">
        <f>IF(D24="","",D24*IF(N(I24)&gt;0,I24,1))</f>
        <v/>
      </c>
      <c r="K24" s="269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2" t="str">
        <f>IF(OR(J24="",K24=""),"",IF(N24="unidade incompatível","",J24*K24))</f>
        <v/>
      </c>
      <c r="M24" s="276" t="str">
        <f>IF(OR(L24="",N(L26)&lt;=0),"",L24/L26)</f>
        <v/>
      </c>
      <c r="N24" s="254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/>
      </c>
      <c r="O24" s="262"/>
    </row>
    <row r="25" ht="12.75" customHeight="1">
      <c r="B25" s="255">
        <v>11</v>
      </c>
      <c r="C25" s="255" t="str">
        <f>IF('Ficha Técnica'!C29="","",'Ficha Técnica'!C29)</f>
        <v/>
      </c>
      <c r="D25" s="265" cm="1" t="str">
        <f t="array" ref="D25">IF(C25="","",IF(N('Ficha Técnica'!E29)&gt;0,'Ficha Técnica'!E29*IF('Ficha Técnica'!F29="",1,IFERROR(INDEX({1,1000,1,1000,1},MATCH('Ficha Técnica'!F29,{"g","kg","ml","L","un"},0)),"")),""))</f>
        <v/>
      </c>
      <c r="E25" s="256" t="str">
        <f>IF(C25="","",IF(LOWER('Ficha Técnica'!E29)="qb","a gosto (fora da conta)",IF(N('Ficha Técnica'!E29)&gt;0,IF(O25="x","⚠️ estimada","informada"),"⚠️ falta quantidade")))</f>
        <v/>
      </c>
      <c r="F25" s="262"/>
      <c r="G25" s="262"/>
      <c r="H25" s="267"/>
      <c r="I25" s="266"/>
      <c r="J25" s="265" t="str">
        <f>IF(D25="","",D25*IF(N(I25)&gt;0,I25,1))</f>
        <v/>
      </c>
      <c r="K25" s="270" cm="1" t="str">
        <f t="array" ref="K25">IF(OR(H25="",N(F25)&lt;=0,IFERROR(INDEX({1,1000,1,1000,1},MATCH(IF(G25="",IF('Ficha Técnica'!F29="","g",'Ficha Técnica'!F29),G25),{"g","kg","ml","L","un"},0)),"")=""),"",H25/(F25*IFERROR(INDEX({1,1000,1,1000,1},MATCH(IF(G25="",IF('Ficha Técnica'!F29="","g",'Ficha Técnica'!F29),G25),{"g","kg","ml","L","un"},0)),"")))</f>
        <v/>
      </c>
      <c r="L25" s="273" t="str">
        <f>IF(OR(J25="",K25=""),"",IF(N25="unidade incompatível","",J25*K25))</f>
        <v/>
      </c>
      <c r="M25" s="277" t="str">
        <f>IF(OR(L25="",N(L26)&lt;=0),"",L25/L26)</f>
        <v/>
      </c>
      <c r="N25" s="256" t="str">
        <f>IF(C25="","",IF(D25="","",IF(H25="","falta preço",IF(AND(IF(OR(IF('Ficha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Técnica'!F29),G25)="un","u",""))),OR(IF(OR(IF('Ficha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Técnica'!F29)="un","u","")))="u",IF(OR(IF(G25="",IF('Ficha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Técnica'!F29),G25)="un","u","")))="u")),"unidade incompatível",IF(IF(OR(IF('Ficha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Técnica'!F29),G25)="un","u",""))),"ml contado como g","")))))</f>
        <v/>
      </c>
      <c r="O25" s="262"/>
    </row>
    <row r="26">
      <c r="B26" s="257"/>
      <c r="C26" s="257" t="s">
        <v>114</v>
      </c>
      <c r="D26" s="257"/>
      <c r="E26" s="257"/>
      <c r="F26" s="257"/>
      <c r="G26" s="257"/>
      <c r="H26" s="257"/>
      <c r="I26" s="257"/>
      <c r="J26" s="257"/>
      <c r="K26" s="257"/>
      <c r="L26" s="274">
        <f>SUM(L15:L25)</f>
        <v>0</v>
      </c>
      <c r="M26" s="257"/>
      <c r="N26" s="257"/>
      <c r="O26" s="257"/>
    </row>
    <row r="29">
      <c r="B29" s="50" t="s">
        <v>115</v>
      </c>
      <c r="C29" s="50"/>
      <c r="D29" s="50"/>
      <c r="E29" s="50"/>
      <c r="F29" s="50"/>
      <c r="G29" s="50"/>
      <c r="I29" s="50" t="s">
        <v>116</v>
      </c>
      <c r="J29" s="50"/>
      <c r="K29" s="50"/>
      <c r="L29" s="50"/>
      <c r="M29" s="50"/>
    </row>
    <row r="30">
      <c r="B30" s="158" t="s">
        <v>117</v>
      </c>
      <c r="C30" s="158"/>
      <c r="D30" s="158"/>
      <c r="E30" s="158"/>
      <c r="F30" s="159">
        <f>'Ficha Técnica'!D10</f>
        <v>4</v>
      </c>
      <c r="G30" s="158"/>
      <c r="I30" s="173" t="s">
        <v>118</v>
      </c>
      <c r="J30" s="173"/>
      <c r="K30" s="173"/>
      <c r="L30" s="177">
        <f>L26</f>
        <v>0</v>
      </c>
      <c r="M30" s="178"/>
    </row>
    <row r="31">
      <c r="B31" s="158" t="s">
        <v>119</v>
      </c>
      <c r="C31" s="158"/>
      <c r="D31" s="158"/>
      <c r="E31" s="158"/>
      <c r="F31" s="160">
        <v>0</v>
      </c>
      <c r="G31" s="161"/>
      <c r="I31" s="173" t="s">
        <v>76</v>
      </c>
      <c r="J31" s="173"/>
      <c r="K31" s="173"/>
      <c r="L31" s="177" t="str">
        <f>IF(AND(N($F$30)&gt;0,N($L$30)&gt;0),$L$30/$F$30,"")</f>
        <v/>
      </c>
      <c r="M31" s="178"/>
    </row>
    <row r="32">
      <c r="B32" s="158" t="s">
        <v>120</v>
      </c>
      <c r="C32" s="158"/>
      <c r="D32" s="158"/>
      <c r="E32" s="158"/>
      <c r="F32" s="162">
        <v>0.05</v>
      </c>
      <c r="G32" s="161"/>
      <c r="I32" s="173" t="s">
        <v>121</v>
      </c>
      <c r="J32" s="173"/>
      <c r="K32" s="173"/>
      <c r="L32" s="177" t="str">
        <f>IF($L$31="","",$L$31*N($F$32))</f>
        <v/>
      </c>
      <c r="M32" s="178"/>
    </row>
    <row r="33">
      <c r="B33" s="158" t="s">
        <v>122</v>
      </c>
      <c r="C33" s="158"/>
      <c r="D33" s="158"/>
      <c r="E33" s="158"/>
      <c r="F33" s="162">
        <v>0.3</v>
      </c>
      <c r="G33" s="161"/>
      <c r="I33" s="173" t="s">
        <v>123</v>
      </c>
      <c r="J33" s="173"/>
      <c r="K33" s="173"/>
      <c r="L33" s="177" t="str">
        <f>IF($L$31="","",N($F$31))</f>
        <v/>
      </c>
      <c r="M33" s="178"/>
    </row>
    <row r="34">
      <c r="B34" s="158" t="s">
        <v>124</v>
      </c>
      <c r="C34" s="158"/>
      <c r="D34" s="158"/>
      <c r="E34" s="158"/>
      <c r="F34" s="160"/>
      <c r="G34" s="161"/>
      <c r="I34" s="186" t="s">
        <v>79</v>
      </c>
      <c r="J34" s="186"/>
      <c r="K34" s="186"/>
      <c r="L34" s="187" t="str">
        <f>IF($L$31="","",SUM($L$31:$L$33))</f>
        <v/>
      </c>
      <c r="M34" s="188"/>
    </row>
    <row r="35">
      <c r="I35" s="189" t="s">
        <v>94</v>
      </c>
      <c r="J35" s="189"/>
      <c r="K35" s="189"/>
      <c r="L35" s="190" t="str">
        <f>IF(OR($L$34="",N($F$33)&lt;=0),"",$L$34/$F$33)</f>
        <v/>
      </c>
      <c r="M35" s="191"/>
    </row>
    <row r="36">
      <c r="B36" s="153" t="s">
        <v>125</v>
      </c>
      <c r="C36" s="153"/>
      <c r="D36" s="153"/>
      <c r="E36" s="153"/>
      <c r="F36" s="153"/>
      <c r="G36" s="153"/>
      <c r="I36" s="173" t="s">
        <v>82</v>
      </c>
      <c r="J36" s="173"/>
      <c r="K36" s="173"/>
      <c r="L36" s="177" t="str">
        <f>IF($L$35="","",$L$35-$L$34)</f>
        <v/>
      </c>
      <c r="M36" s="178"/>
    </row>
    <row r="37">
      <c r="B37" s="153"/>
      <c r="C37" s="153"/>
      <c r="D37" s="153"/>
      <c r="E37" s="153"/>
      <c r="F37" s="153"/>
      <c r="G37" s="153"/>
      <c r="I37" s="192" t="s">
        <v>83</v>
      </c>
      <c r="J37" s="192"/>
      <c r="K37" s="192"/>
      <c r="L37" s="193" t="str">
        <f>IF(OR($L$34="",N(PctNegocio)&lt;=0,N(PctNegocio)&gt;=1),"",$L$34/(1-PctNegocio))</f>
        <v/>
      </c>
      <c r="M37" s="194"/>
    </row>
    <row r="38">
      <c r="B38" s="153"/>
      <c r="C38" s="153"/>
      <c r="D38" s="153"/>
      <c r="E38" s="153"/>
      <c r="F38" s="153"/>
      <c r="G38" s="153"/>
      <c r="I38" s="173" t="s">
        <v>126</v>
      </c>
      <c r="J38" s="173"/>
      <c r="K38" s="173"/>
      <c r="L38" s="179" t="str">
        <f>IF(OR($L$34="",N($F$34)&lt;=0),"",$L$34/$F$34)</f>
        <v/>
      </c>
      <c r="M38" s="178"/>
    </row>
    <row r="39">
      <c r="B39" s="153"/>
      <c r="C39" s="153"/>
      <c r="D39" s="153"/>
      <c r="E39" s="153"/>
      <c r="F39" s="153"/>
      <c r="G39" s="153"/>
      <c r="I39" s="173" t="s">
        <v>127</v>
      </c>
      <c r="J39" s="173"/>
      <c r="K39" s="173"/>
      <c r="L39" s="177" t="str">
        <f>IF(OR($L$34="",N($F$34)&lt;=0),"",$F$34-$L$34)</f>
        <v/>
      </c>
      <c r="M39" s="178"/>
    </row>
    <row r="40">
      <c r="B40" s="153"/>
      <c r="C40" s="153"/>
      <c r="D40" s="153"/>
      <c r="E40" s="153"/>
      <c r="F40" s="153"/>
      <c r="G40" s="153"/>
      <c r="I40" s="208" t="s">
        <v>128</v>
      </c>
      <c r="J40" s="208"/>
      <c r="K40" s="208"/>
      <c r="L40" s="209">
        <f>IF(N($F$30)&gt;0,$F$30,"")</f>
        <v>4</v>
      </c>
      <c r="M40" s="210"/>
    </row>
    <row r="41">
      <c r="B41" s="153"/>
      <c r="C41" s="153"/>
      <c r="D41" s="153"/>
      <c r="E41" s="153"/>
      <c r="F41" s="153"/>
      <c r="G41" s="153"/>
      <c r="I41" s="195" t="s">
        <v>129</v>
      </c>
      <c r="J41" s="195"/>
      <c r="K41" s="195"/>
      <c r="L41" s="198" t="str">
        <f>IF(OR($L$35="",N($F$30)&lt;=0),"",$L$35*$F$30)</f>
        <v/>
      </c>
      <c r="M41" s="197"/>
    </row>
    <row r="42">
      <c r="I42" s="195" t="s">
        <v>130</v>
      </c>
      <c r="J42" s="195"/>
      <c r="K42" s="195"/>
      <c r="L42" s="198" t="str">
        <f>IF(OR($L$34="",N($F$30)&lt;=0),"",$L$34*$F$30)</f>
        <v/>
      </c>
      <c r="M42" s="197"/>
    </row>
    <row r="43">
      <c r="I43" s="205" t="s">
        <v>88</v>
      </c>
      <c r="J43" s="205"/>
      <c r="K43" s="205"/>
      <c r="L43" s="206" t="str">
        <f>IF(OR($L$41="",$L$42=""),"",$L$41-$L$42)</f>
        <v/>
      </c>
      <c r="M43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30:E30"/>
    <mergeCell ref="F30:G30"/>
    <mergeCell ref="B31:E31"/>
    <mergeCell ref="F31:G31"/>
    <mergeCell ref="B32:E32"/>
    <mergeCell ref="F32:G32"/>
    <mergeCell ref="B33:E33"/>
    <mergeCell ref="F33:G33"/>
    <mergeCell ref="B34:E34"/>
    <mergeCell ref="F34:G34"/>
    <mergeCell ref="B36:G41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I43:K43"/>
    <mergeCell ref="L43:M43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5">
    <cfRule type="dataBar" priority="1">
      <dataBar>
        <cfvo type="min"/>
        <cfvo type="max"/>
        <color rgb="FF0D6EB0"/>
      </dataBar>
    </cfRule>
  </conditionalFormatting>
  <conditionalFormatting sqref="H15:H25">
    <cfRule type="expression" dxfId="2" priority="2">
      <formula>AND($C15&lt;&gt;"",$H15="",$E15&lt;&gt;"a gosto (fora da conta)")</formula>
    </cfRule>
  </conditionalFormatting>
  <conditionalFormatting sqref="N15:N25">
    <cfRule type="expression" dxfId="1" priority="3">
      <formula>$N15&lt;&gt;""</formula>
    </cfRule>
  </conditionalFormatting>
  <conditionalFormatting sqref="E15:E25">
    <cfRule type="expression" dxfId="3" priority="4">
      <formula>LEFT($E15,2)="⚠️"</formula>
    </cfRule>
  </conditionalFormatting>
  <conditionalFormatting sqref="C15:C25">
    <cfRule type="expression" dxfId="0" priority="5">
      <formula>'Ficha Técnica'!$D19="Sim"</formula>
    </cfRule>
  </conditionalFormatting>
  <dataValidations count="3">
    <dataValidation type="list" allowBlank="1" showInputMessage="1" showErrorMessage="1" sqref="F33">
      <formula1>"25%,30%,35%,40%"</formula1>
    </dataValidation>
    <dataValidation type="list" allowBlank="1" showInputMessage="1" showErrorMessage="1" sqref="G15:G25">
      <formula1>"g,kg,ml,L,un"</formula1>
    </dataValidation>
    <dataValidation type="list" allowBlank="1" showInputMessage="1" showErrorMessage="1" sqref="O15:O25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131</v>
      </c>
      <c r="C2" s="4"/>
      <c r="D2" s="4"/>
      <c r="E2" s="4"/>
    </row>
    <row r="3" ht="16.5">
      <c r="B3" s="6" t="str">
        <f>'Ficha Técnica'!D8</f>
        <v>Salada Morna Vegana de Trigo com Hortelã e Orange Pepper</v>
      </c>
    </row>
    <row r="5" ht="66" customHeight="1">
      <c r="B5" s="12" t="s">
        <v>132</v>
      </c>
      <c r="C5" s="12"/>
      <c r="D5" s="12"/>
      <c r="E5" s="12"/>
    </row>
    <row r="7">
      <c r="B7" s="17" t="s">
        <v>133</v>
      </c>
      <c r="C7" s="17" t="s">
        <v>134</v>
      </c>
      <c r="D7" s="17"/>
      <c r="E7" s="17" t="s">
        <v>135</v>
      </c>
    </row>
    <row r="8" ht="28.5" customHeight="1">
      <c r="B8" s="29" t="s">
        <v>136</v>
      </c>
      <c r="C8" s="30"/>
      <c r="D8" s="29"/>
      <c r="E8" s="31" t="s">
        <v>137</v>
      </c>
    </row>
    <row r="9" ht="28.5" customHeight="1">
      <c r="B9" s="32" t="s">
        <v>138</v>
      </c>
      <c r="C9" s="33"/>
      <c r="D9" s="32"/>
      <c r="E9" s="34" t="s">
        <v>139</v>
      </c>
    </row>
    <row r="10" ht="39" customHeight="1">
      <c r="B10" s="32" t="s">
        <v>140</v>
      </c>
      <c r="C10" s="33" t="str">
        <f>IF(N(C21)&gt;0,C21,"")</f>
        <v/>
      </c>
      <c r="D10" s="32"/>
      <c r="E10" s="34" t="s">
        <v>141</v>
      </c>
    </row>
    <row r="11" ht="28.5" customHeight="1">
      <c r="B11" s="32" t="s">
        <v>142</v>
      </c>
      <c r="C11" s="33"/>
      <c r="D11" s="32"/>
      <c r="E11" s="34" t="s">
        <v>143</v>
      </c>
    </row>
    <row r="12" ht="28.5" customHeight="1">
      <c r="B12" s="32" t="s">
        <v>144</v>
      </c>
      <c r="C12" s="33"/>
      <c r="D12" s="32"/>
      <c r="E12" s="34" t="s">
        <v>145</v>
      </c>
    </row>
    <row r="13" ht="28.5" customHeight="1">
      <c r="B13" s="35" t="s">
        <v>146</v>
      </c>
      <c r="C13" s="36"/>
      <c r="D13" s="35"/>
      <c r="E13" s="37" t="s">
        <v>147</v>
      </c>
    </row>
    <row r="14">
      <c r="B14" s="46" t="s">
        <v>148</v>
      </c>
      <c r="C14" s="48" t="str">
        <f>IF(COUNT(C8:C13)=0,"",SUM(C8:C13))</f>
        <v/>
      </c>
    </row>
    <row r="15">
      <c r="B15" s="46" t="s">
        <v>149</v>
      </c>
      <c r="C15" s="48" t="str">
        <f>IF(C14="","",1-C14)</f>
        <v/>
      </c>
    </row>
    <row r="17">
      <c r="B17" s="50" t="s">
        <v>150</v>
      </c>
      <c r="C17" s="50"/>
      <c r="D17" s="50"/>
      <c r="E17" s="50"/>
    </row>
    <row r="18" ht="22.5" customHeight="1">
      <c r="B18" s="62" t="s">
        <v>151</v>
      </c>
      <c r="C18" s="56"/>
      <c r="D18" s="23"/>
      <c r="E18" s="27" t="s">
        <v>152</v>
      </c>
    </row>
    <row r="19" ht="34.5" customHeight="1">
      <c r="B19" s="62" t="s">
        <v>153</v>
      </c>
      <c r="C19" s="56"/>
      <c r="D19" s="23"/>
      <c r="E19" s="27" t="s">
        <v>154</v>
      </c>
    </row>
    <row r="20" ht="34.5" customHeight="1">
      <c r="B20" s="62" t="s">
        <v>155</v>
      </c>
      <c r="C20" s="56"/>
      <c r="D20" s="23"/>
      <c r="E20" s="27" t="s">
        <v>156</v>
      </c>
    </row>
    <row r="21" ht="22.5" customHeight="1">
      <c r="B21" s="63" t="s">
        <v>157</v>
      </c>
      <c r="C21" s="48" t="str">
        <f>IF(AND(N(C18)&gt;0,N(C20)&gt;0),C20/C18,"")</f>
        <v/>
      </c>
      <c r="D21" s="23"/>
      <c r="E21" s="27" t="s">
        <v>158</v>
      </c>
    </row>
    <row r="22" ht="22.5" customHeight="1">
      <c r="B22" s="63" t="s">
        <v>159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160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161</v>
      </c>
      <c r="C26" s="75" t="str">
        <f>IF(N(C20)=0,"",IF(1-N(CMVDesejado)-SUM(C8,C9,C11,C12,C13)&lt;=0,"revise os %",C20/(1-N(CMVDesejado)-SUM(C8,C9,C11,C12,C13))))</f>
        <v/>
      </c>
      <c r="E26" s="27" t="s">
        <v>162</v>
      </c>
    </row>
    <row r="28">
      <c r="B28" s="50" t="s">
        <v>163</v>
      </c>
      <c r="C28" s="50"/>
      <c r="D28" s="50"/>
      <c r="E28" s="50"/>
    </row>
    <row r="29" ht="16.5" customHeight="1">
      <c r="B29" s="84" t="s">
        <v>164</v>
      </c>
      <c r="C29" s="94" t="str">
        <f>CustoTotalPorcao</f>
        <v/>
      </c>
    </row>
    <row r="30" ht="21" customHeight="1">
      <c r="B30" s="92" t="s">
        <v>83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165</v>
      </c>
      <c r="C31" s="94" t="str">
        <f>PrecoSugerido</f>
        <v/>
      </c>
    </row>
    <row r="33">
      <c r="B33" s="50" t="s">
        <v>166</v>
      </c>
      <c r="C33" s="50"/>
      <c r="D33" s="50"/>
      <c r="E33" s="50"/>
    </row>
    <row r="34" ht="25.5" customHeight="1">
      <c r="B34" s="62" t="s">
        <v>167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168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169</v>
      </c>
      <c r="C36" s="111" t="str">
        <f>IF(OR(N(C20)=0,N(C35)&lt;=0),"",ROUNDUP(C20/C35,0))</f>
        <v/>
      </c>
      <c r="D36" s="23"/>
      <c r="E36" s="27" t="s">
        <v>170</v>
      </c>
    </row>
    <row r="37" ht="25.5" customHeight="1">
      <c r="B37" s="62" t="s">
        <v>171</v>
      </c>
      <c r="C37" s="107"/>
      <c r="D37" s="23"/>
      <c r="E37" s="27" t="s">
        <v>172</v>
      </c>
    </row>
    <row r="38" ht="25.5" customHeight="1">
      <c r="B38" s="62" t="s">
        <v>173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174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175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176</v>
      </c>
      <c r="C5" s="469"/>
      <c r="D5" s="469"/>
    </row>
    <row r="6" ht="22.5" customHeight="1">
      <c r="B6" s="472" t="s">
        <v>177</v>
      </c>
      <c r="C6" s="472"/>
      <c r="D6" s="472"/>
    </row>
    <row r="8" ht="19.5" customHeight="1">
      <c r="B8" s="474" t="s">
        <v>178</v>
      </c>
      <c r="C8" s="474"/>
      <c r="D8" s="474"/>
    </row>
    <row r="9" ht="6" customHeight="1"/>
    <row r="10" ht="19.5" customHeight="1">
      <c r="B10" s="486">
        <v>1</v>
      </c>
      <c r="C10" s="497" t="s">
        <v>179</v>
      </c>
      <c r="D10" s="301"/>
    </row>
    <row r="11" ht="33" customHeight="1">
      <c r="B11" s="486"/>
      <c r="C11" s="504" t="s">
        <v>180</v>
      </c>
      <c r="D11" s="504"/>
    </row>
    <row r="12" ht="7.5" customHeight="1"/>
    <row r="13" ht="19.5" customHeight="1">
      <c r="B13" s="486">
        <v>2</v>
      </c>
      <c r="C13" s="497" t="s">
        <v>181</v>
      </c>
      <c r="D13" s="301"/>
    </row>
    <row r="14" ht="55.5" customHeight="1">
      <c r="B14" s="486"/>
      <c r="C14" s="504" t="s">
        <v>182</v>
      </c>
      <c r="D14" s="504"/>
    </row>
    <row r="15" ht="7.5" customHeight="1"/>
    <row r="16" ht="19.5" customHeight="1">
      <c r="B16" s="486">
        <v>3</v>
      </c>
      <c r="C16" s="497" t="s">
        <v>183</v>
      </c>
      <c r="D16" s="301"/>
    </row>
    <row r="17" ht="33" customHeight="1">
      <c r="B17" s="486"/>
      <c r="C17" s="504" t="s">
        <v>184</v>
      </c>
      <c r="D17" s="504"/>
    </row>
    <row r="18" ht="7.5" customHeight="1"/>
    <row r="19" ht="19.5" customHeight="1">
      <c r="B19" s="474" t="s">
        <v>185</v>
      </c>
      <c r="C19" s="474"/>
      <c r="D19" s="474"/>
    </row>
    <row r="20" ht="6" customHeight="1"/>
    <row r="21" ht="19.5" customHeight="1">
      <c r="B21" s="486">
        <v>4</v>
      </c>
      <c r="C21" s="497" t="s">
        <v>186</v>
      </c>
      <c r="D21" s="301"/>
    </row>
    <row r="22" ht="33" customHeight="1">
      <c r="B22" s="486"/>
      <c r="C22" s="504" t="s">
        <v>187</v>
      </c>
      <c r="D22" s="504"/>
    </row>
    <row r="23" ht="7.5" customHeight="1"/>
    <row r="24" ht="19.5" customHeight="1">
      <c r="B24" s="507" t="s">
        <v>188</v>
      </c>
      <c r="C24" s="518" t="s">
        <v>189</v>
      </c>
      <c r="D24" s="116"/>
    </row>
    <row r="25" ht="55.5" customHeight="1">
      <c r="B25" s="507"/>
      <c r="C25" s="523" t="s">
        <v>190</v>
      </c>
      <c r="D25" s="523"/>
    </row>
    <row r="26" ht="7.5" customHeight="1"/>
    <row r="27" ht="19.5" customHeight="1">
      <c r="B27" s="486">
        <v>5</v>
      </c>
      <c r="C27" s="497" t="s">
        <v>191</v>
      </c>
      <c r="D27" s="301"/>
    </row>
    <row r="28" ht="33" customHeight="1">
      <c r="B28" s="486"/>
      <c r="C28" s="504" t="s">
        <v>192</v>
      </c>
      <c r="D28" s="504"/>
    </row>
    <row r="29" ht="7.5" customHeight="1"/>
    <row r="30" ht="19.5" customHeight="1">
      <c r="B30" s="486">
        <v>6</v>
      </c>
      <c r="C30" s="497" t="s">
        <v>193</v>
      </c>
      <c r="D30" s="301"/>
    </row>
    <row r="31" ht="33" customHeight="1">
      <c r="B31" s="486"/>
      <c r="C31" s="504" t="s">
        <v>194</v>
      </c>
      <c r="D31" s="504"/>
    </row>
    <row r="32" ht="7.5" customHeight="1"/>
    <row r="33" ht="19.5" customHeight="1">
      <c r="B33" s="486">
        <v>7</v>
      </c>
      <c r="C33" s="497" t="s">
        <v>195</v>
      </c>
      <c r="D33" s="301"/>
    </row>
    <row r="34" ht="21.75" customHeight="1">
      <c r="B34" s="486"/>
      <c r="C34" s="504" t="s">
        <v>64</v>
      </c>
      <c r="D34" s="504"/>
    </row>
    <row r="35" ht="7.5" customHeight="1"/>
    <row r="36" ht="3" customHeight="1">
      <c r="B36" s="284"/>
      <c r="C36" s="284"/>
      <c r="D36" s="284"/>
    </row>
    <row r="37">
      <c r="B37" s="542" t="s">
        <v>90</v>
      </c>
      <c r="C37" s="542"/>
      <c r="D37" s="542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175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175</v>
      </c>
      <c r="C5" s="469"/>
      <c r="D5" s="469"/>
    </row>
    <row r="6" ht="22.5" customHeight="1">
      <c r="B6" s="472" t="s">
        <v>196</v>
      </c>
      <c r="C6" s="472"/>
      <c r="D6" s="472"/>
    </row>
    <row r="8" ht="19.5" customHeight="1">
      <c r="B8" s="474" t="s">
        <v>197</v>
      </c>
      <c r="C8" s="474"/>
      <c r="D8" s="474"/>
    </row>
    <row r="9" ht="6" customHeight="1"/>
    <row r="10" ht="33" customHeight="1">
      <c r="B10" s="480" t="s">
        <v>198</v>
      </c>
      <c r="C10" s="481" t="s">
        <v>199</v>
      </c>
      <c r="D10" s="481"/>
    </row>
    <row r="11" ht="33" customHeight="1">
      <c r="B11" s="480" t="s">
        <v>198</v>
      </c>
      <c r="C11" s="481" t="s">
        <v>200</v>
      </c>
      <c r="D11" s="481"/>
    </row>
    <row r="12" ht="33" customHeight="1">
      <c r="B12" s="480" t="s">
        <v>198</v>
      </c>
      <c r="C12" s="481" t="s">
        <v>201</v>
      </c>
      <c r="D12" s="481"/>
    </row>
    <row r="13" ht="33" customHeight="1">
      <c r="B13" s="480" t="s">
        <v>198</v>
      </c>
      <c r="C13" s="481" t="s">
        <v>202</v>
      </c>
      <c r="D13" s="481"/>
    </row>
    <row r="15" ht="19.5" customHeight="1">
      <c r="B15" s="474" t="s">
        <v>203</v>
      </c>
      <c r="C15" s="474"/>
      <c r="D15" s="474"/>
    </row>
    <row r="16" ht="6" customHeight="1"/>
    <row r="17" ht="19.5" customHeight="1">
      <c r="B17" s="486">
        <v>1</v>
      </c>
      <c r="C17" s="497" t="s">
        <v>204</v>
      </c>
      <c r="D17" s="493" t="s">
        <v>205</v>
      </c>
    </row>
    <row r="18" ht="89.25" customHeight="1">
      <c r="B18" s="486"/>
      <c r="C18" s="504" t="s">
        <v>206</v>
      </c>
      <c r="D18" s="504"/>
    </row>
    <row r="19" ht="7.5" customHeight="1"/>
    <row r="20" ht="19.5" customHeight="1">
      <c r="B20" s="486">
        <v>2</v>
      </c>
      <c r="C20" s="497" t="s">
        <v>207</v>
      </c>
      <c r="D20" s="493" t="s">
        <v>205</v>
      </c>
    </row>
    <row r="21" ht="156.75" customHeight="1">
      <c r="B21" s="486"/>
      <c r="C21" s="504" t="s">
        <v>208</v>
      </c>
      <c r="D21" s="504"/>
    </row>
    <row r="22" ht="7.5" customHeight="1"/>
    <row r="23" ht="19.5" customHeight="1">
      <c r="B23" s="486">
        <v>3</v>
      </c>
      <c r="C23" s="497" t="s">
        <v>209</v>
      </c>
      <c r="D23" s="493" t="s">
        <v>205</v>
      </c>
    </row>
    <row r="24" ht="89.25" customHeight="1">
      <c r="B24" s="486"/>
      <c r="C24" s="504" t="s">
        <v>210</v>
      </c>
      <c r="D24" s="504"/>
    </row>
    <row r="25" ht="7.5" customHeight="1"/>
    <row r="26" ht="19.5" customHeight="1">
      <c r="B26" s="507">
        <v>4</v>
      </c>
      <c r="C26" s="518" t="s">
        <v>211</v>
      </c>
      <c r="D26" s="514" t="s">
        <v>205</v>
      </c>
    </row>
    <row r="27" ht="33" customHeight="1">
      <c r="B27" s="507"/>
      <c r="C27" s="523" t="s">
        <v>212</v>
      </c>
      <c r="D27" s="523"/>
    </row>
    <row r="28" ht="7.5" customHeight="1"/>
    <row r="29" ht="19.5" customHeight="1">
      <c r="B29" s="474" t="s">
        <v>213</v>
      </c>
      <c r="C29" s="474"/>
      <c r="D29" s="474"/>
    </row>
    <row r="30" ht="6" customHeight="1"/>
    <row r="31" ht="19.5" customHeight="1">
      <c r="B31" s="526" t="s">
        <v>214</v>
      </c>
      <c r="C31" s="497" t="s">
        <v>215</v>
      </c>
      <c r="D31" s="301"/>
    </row>
    <row r="32" ht="33" customHeight="1">
      <c r="B32" s="526"/>
      <c r="C32" s="504" t="s">
        <v>216</v>
      </c>
      <c r="D32" s="504"/>
    </row>
    <row r="33" ht="7.5" customHeight="1"/>
    <row r="34" ht="19.5" customHeight="1">
      <c r="B34" s="526" t="s">
        <v>217</v>
      </c>
      <c r="C34" s="497" t="s">
        <v>218</v>
      </c>
      <c r="D34" s="301"/>
    </row>
    <row r="35" ht="66.75" customHeight="1">
      <c r="B35" s="526"/>
      <c r="C35" s="504" t="s">
        <v>219</v>
      </c>
      <c r="D35" s="504"/>
    </row>
    <row r="36" ht="7.5" customHeight="1"/>
    <row r="37" ht="19.5" customHeight="1">
      <c r="B37" s="526" t="s">
        <v>220</v>
      </c>
      <c r="C37" s="497" t="s">
        <v>221</v>
      </c>
      <c r="D37" s="301"/>
    </row>
    <row r="38" ht="89.25" customHeight="1">
      <c r="B38" s="526"/>
      <c r="C38" s="504" t="s">
        <v>222</v>
      </c>
      <c r="D38" s="504"/>
    </row>
    <row r="39" ht="7.5" customHeight="1"/>
    <row r="40" ht="19.5" customHeight="1">
      <c r="B40" s="526" t="s">
        <v>223</v>
      </c>
      <c r="C40" s="497" t="s">
        <v>224</v>
      </c>
      <c r="D40" s="529" t="s">
        <v>205</v>
      </c>
    </row>
    <row r="41" ht="78" customHeight="1">
      <c r="B41" s="526"/>
      <c r="C41" s="504" t="s">
        <v>225</v>
      </c>
      <c r="D41" s="504"/>
    </row>
    <row r="42" ht="7.5" customHeight="1"/>
    <row r="43" ht="19.5" customHeight="1">
      <c r="B43" s="474" t="s">
        <v>226</v>
      </c>
      <c r="C43" s="474"/>
      <c r="D43" s="474"/>
    </row>
    <row r="44" ht="6" customHeight="1"/>
    <row r="45" ht="21.75" customHeight="1">
      <c r="B45" s="534"/>
      <c r="C45" s="535" t="s">
        <v>227</v>
      </c>
      <c r="D45" s="535"/>
    </row>
    <row r="46" ht="4.5" customHeight="1"/>
    <row r="47" ht="33" customHeight="1">
      <c r="B47" s="538" t="s">
        <v>228</v>
      </c>
      <c r="C47" s="535" t="s">
        <v>229</v>
      </c>
      <c r="D47" s="535"/>
    </row>
    <row r="48" ht="4.5" customHeight="1"/>
    <row r="49" ht="44.25" customHeight="1">
      <c r="B49" s="541" t="s">
        <v>230</v>
      </c>
      <c r="C49" s="535" t="s">
        <v>231</v>
      </c>
      <c r="D49" s="535"/>
    </row>
    <row r="50" ht="4.5" customHeight="1"/>
    <row r="52" ht="3" customHeight="1">
      <c r="B52" s="284"/>
      <c r="C52" s="284"/>
      <c r="D52" s="284"/>
    </row>
    <row r="53">
      <c r="B53" s="542" t="s">
        <v>90</v>
      </c>
      <c r="C53" s="542"/>
      <c r="D53" s="542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Salada Morna Vegana de Trigo com Hortelã e Orange Pepper</dc:title>
  <dc:creator>PQ Alimentos</dc:creator>
</cp:coreProperties>
</file>