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worksheets/sheet1.xml" ContentType="application/vnd.openxmlformats-officedocument.spreadsheetml.worksheet+xml"/>
  <Override PartName="/xl/comments2.xml" ContentType="application/vnd.openxmlformats-officedocument.spreadsheetml.comments+xml"/>
  <Override PartName="/xl/worksheets/sheet2.xml" ContentType="application/vnd.openxmlformats-officedocument.spreadsheetml.worksheet+xml"/>
  <Override PartName="/xl/comments3.xml" ContentType="application/vnd.openxmlformats-officedocument.spreadsheetml.comments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3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gridcraft"/>
  <workbookPr/>
  <bookViews>
    <workbookView activeTab="0"/>
  </bookViews>
  <sheets>
    <sheet name="Ficha Técnica" sheetId="1" r:id="rId1"/>
    <sheet name="Custos" sheetId="2" r:id="rId2"/>
    <sheet name="Meu negócio" sheetId="3" r:id="rId3"/>
    <sheet name="Aviso importante" sheetId="4" r:id="rId4"/>
    <sheet name="Como usar" sheetId="5" r:id="rId5"/>
  </sheets>
  <definedNames>
    <definedName name="PctNegocio">'Meu negócio'!$C$14</definedName>
    <definedName name="CustoIngredientes">Custos!$L$27</definedName>
    <definedName name="CustoIngrPorcao">Custos!$L$28</definedName>
    <definedName name="PerdasPorcao">Custos!$L$29</definedName>
    <definedName name="EmbalagemPorcao">Custos!$L$30</definedName>
    <definedName name="CustoTotalPorcao">Custos!$L$31</definedName>
    <definedName name="PrecoSugerido">Custos!$L$32</definedName>
    <definedName name="LucroPorcao">Custos!$L$33</definedName>
    <definedName name="PrecoNegocio">Custos!$L$34</definedName>
    <definedName name="CMVReal">Custos!$L$35</definedName>
    <definedName name="LucroPraticado">Custos!$L$36</definedName>
    <definedName name="RendimentoReceita">Custos!$L$37</definedName>
    <definedName name="Faturamento">Custos!$L$38</definedName>
    <definedName name="CustoReceita">Custos!$L$39</definedName>
    <definedName name="LucroReceita">Custos!$L$40</definedName>
    <definedName name="Rendimento">Custos!$F$27</definedName>
    <definedName name="EmbViagem">Custos!$F$28</definedName>
    <definedName name="PerdasPct">Custos!$F$29</definedName>
    <definedName name="CMVDesejado">Custos!$F$30</definedName>
    <definedName name="PrecoPraticado">Custos!$F$31</definedName>
    <definedName name="_xlnm.Print_Area" localSheetId="0">'Ficha Técnica'!$A$1:$I$83</definedName>
    <definedName name="_xlnm.Print_Area" localSheetId="1">Custos!$A$1:$O$40</definedName>
    <definedName name="_xlnm.Print_Area" localSheetId="2">'Meu negócio'!$A$1:$E$40</definedName>
    <definedName name="_xlnm.Print_Area" localSheetId="3">'Aviso importante'!$A$1:$E$37</definedName>
    <definedName name="_xlnm.Print_Area" localSheetId="4">'Como usar'!$A$1:$E$53</definedName>
  </definedNames>
  <calcPr calcId="191029"/>
</workbook>
</file>

<file path=xl/comments1.xml><?xml version="1.0" encoding="utf-8"?>
<comments xmlns="http://schemas.openxmlformats.org/spreadsheetml/2006/main">
  <authors>
    <author>PQ Alimentos</author>
  </authors>
  <commentList>
    <comment ref="B10" authorId="0">
      <text>
        <r>
          <t>Quantas porções a receita rende. A calculadora usa este número para o custo e o preço por porção.</t>
        </r>
      </text>
    </comment>
    <comment ref="B11" authorId="0">
      <text>
        <r>
          <t>Peso de uma porção pronta, em gramas.</t>
        </r>
      </text>
    </comment>
    <comment ref="B12" authorId="0">
      <text>
        <r>
          <t>Tempo de cada etapa da receita (demolho, cozimento, fritura).</t>
        </r>
      </text>
    </comment>
    <comment ref="C15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18" authorId="0">
      <text>
        <r>
          <t>Número do ingrediente.</t>
        </r>
      </text>
    </comment>
    <comment ref="C18" authorId="0">
      <text>
        <r>
          <t>Nome do ingrediente. Produtos PQ aparecem em negrito e em vermelho.</t>
        </r>
      </text>
    </comment>
    <comment ref="D18" authorId="0">
      <text>
        <r>
          <t>Sim = produto da linha PQ Alimentos.</t>
        </r>
      </text>
    </comment>
    <comment ref="E18" authorId="0">
      <text>
        <r>
          <t>Quantidade usada na receita (número). Escreva "qb" (quanto baste) quando não há quantidade fixa.</t>
        </r>
      </text>
    </comment>
    <comment ref="F18" authorId="0">
      <text>
        <r>
          <t>Unidade da quantidade: g (gramas), kg (quilos), ml (mililitros), L (litros) ou un (unidades).</t>
        </r>
      </text>
    </comment>
    <comment ref="G18" authorId="0">
      <text>
        <r>
          <t>Sugestão em medida caseira (colher, xícara), só para quem prepara. Pode trocar pela sua; não é obrigatória. A conta usa a QUANTIDADE em g, ml ou un.</t>
        </r>
      </text>
    </comment>
    <comment ref="I18" authorId="0">
      <text>
        <r>
          <t>Custo deste ingrediente na receita inteira, calculado na aba Custos com o preço que você informar.</t>
        </r>
      </text>
    </comment>
    <comment ref="C27" authorId="0">
      <text>
        <r>
          <t>Soma do custo de todos os ingredientes da receita.</t>
        </r>
      </text>
    </comment>
    <comment ref="C28" authorId="0">
      <text>
        <r>
          <t>Custo direto da porção: ingredientes, perdas e embalagem para viagem. Não inclui mão de obra, aluguel, impostos, taxas nem lucro.</t>
        </r>
      </text>
    </comment>
    <comment ref="C29" authorId="0">
      <text>
        <r>
          <t>Custo da porção ÷ CMV desejado (aba Custos). Com CMV de 30%, os ingredientes são 30% do preço e os outros 70% pagam a operação e o lucro.</t>
        </r>
      </text>
    </comment>
    <comment ref="C30" authorId="0">
      <text>
        <r>
          <t>Preço que cobre a operação do seu negócio e o lucro que você quer, com os percentuais da aba Meu negócio.</t>
        </r>
      </text>
    </comment>
    <comment ref="C31" authorId="0">
      <text>
        <r>
          <t>Faturamento menos custo da receita inteira, pelo preço de referência. Não é lucro: paga a operação e, no fim, o lucro.</t>
        </r>
      </text>
    </comment>
    <comment ref="C5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C57" authorId="0">
      <text>
        <r>
          <t>Ingrediente da receita. Produtos PQ aparecem em negrito e em vermelho.</t>
        </r>
      </text>
    </comment>
    <comment ref="D57" authorId="0">
      <text>
        <r>
          <t>Tamanho da embalagem que serviu de base para o preço (ex.: pacote de 500 g).</t>
        </r>
      </text>
    </comment>
    <comment ref="F57" authorId="0">
      <text>
        <r>
          <t>Preço da embalagem inteira, informado na aba Custos.</t>
        </r>
      </text>
    </comment>
    <comment ref="G57" authorId="0">
      <text>
        <r>
          <t>Quantidade a comprar para a receita (já com o fator de correção), em g, ml ou unidades.</t>
        </r>
      </text>
    </comment>
    <comment ref="H57" authorId="0">
      <text>
        <r>
          <t>Quanto o ingrediente representa no custo total dos ingredientes.</t>
        </r>
      </text>
    </comment>
    <comment ref="I57" authorId="0">
      <text>
        <r>
          <t>Custo do ingrediente na receita inteira.</t>
        </r>
      </text>
    </comment>
    <comment ref="G67" authorId="0">
      <text>
        <r>
          <t>Os 3 ingredientes com maior participação no custo da receita.</t>
        </r>
      </text>
    </comment>
    <comment ref="B70" authorId="0">
      <text>
        <r>
          <t>Margem para o que estraga, sobra ou é descartado (% sobre os ingredientes).</t>
        </r>
      </text>
    </comment>
    <comment ref="B71" authorId="0">
      <text>
        <r>
          <t>Custo da embalagem descartável de uma porção para viagem ou delivery.</t>
        </r>
      </text>
    </comment>
    <comment ref="B72" authorId="0">
      <text>
        <r>
          <t>Custo direto: ingredientes, perdas e embalagem. Não inclui mão de obra, aluguel, impostos, taxas nem lucro.</t>
        </r>
      </text>
    </comment>
    <comment ref="B73" authorId="0">
      <text>
        <r>
          <t>CMV = custo da mercadoria vendida: quanto do preço de venda vai para pagar os ingredientes. O resto paga a operação e o lucro.</t>
        </r>
      </text>
    </comment>
    <comment ref="B74" authorId="0">
      <text>
        <r>
          <t>Custo da porção ÷ CMV desejado. É um atalho; o preço que fecha com o seu negócio está na aba Meu negócio.</t>
        </r>
      </text>
    </comment>
    <comment ref="B75" authorId="0">
      <text>
        <r>
          <t>Preço de referência − custo da porção. Não é lucro: paga mão de obra, aluguel, impostos, taxas e marketing, e o que sobrar é o lucro.</t>
        </r>
      </text>
    </comment>
    <comment ref="B76" authorId="0">
      <text>
        <r>
          <t>Custo da porção ÷ (1 − soma dos percentuais da aba Meu negócio).</t>
        </r>
      </text>
    </comment>
    <comment ref="B80" authorId="0">
      <text>
        <r>
          <t>Faturamento − custo total da receita inteira, pelo preço de referência. Não é lucro.</t>
        </r>
      </text>
    </comment>
  </commentList>
</comments>
</file>

<file path=xl/comments2.xml><?xml version="1.0" encoding="utf-8"?>
<comments xmlns="http://schemas.openxmlformats.org/spreadsheetml/2006/main">
  <authors>
    <author>PQ Alimentos</author>
  </authors>
  <commentList>
    <comment ref="C2" authorId="0">
      <text>
        <r>
          <t>Esta ficha vem sem preços: cada cozinha paga um valor diferente. Para o custo e o preço de venda saírem certos, preencha na aba Custos o que você paga em cada ingrediente (conteúdo da embalagem, unidade e preço).</t>
        </r>
      </text>
    </comment>
    <comment ref="B9" authorId="0">
      <text>
        <r>
          <t>Custo direto de uma porção: ingredientes, perdas e embalagem para viagem. Não inclui mão de obra, aluguel, impostos, taxas nem lucro.</t>
        </r>
      </text>
    </comment>
    <comment ref="D9" authorId="0">
      <text>
        <r>
          <t>Preço de referência = custo da porção ÷ CMV desejado (passo 2). Com CMV de 30%, os outros 70% do preço pagam a operação e o lucro.</t>
        </r>
      </text>
    </comment>
    <comment ref="F9" authorId="0">
      <text>
        <r>
          <t>Preço que cobre a operação do seu negócio (impostos, taxas, custos fixos, marketing) e o lucro que você quer. Preencha os percentuais na aba Meu negócio.</t>
        </r>
      </text>
    </comment>
    <comment ref="I9" authorId="0">
      <text>
        <r>
          <t>Margem da receita inteira pelo preço de referência = (preço − custo da porção) × porções. Não é lucro: paga a operação e, no fim, o lucro.</t>
        </r>
      </text>
    </comment>
    <comment ref="M9" authorId="0">
      <text>
        <r>
          <t>Quantos ingredientes já têm preço da embalagem preenchido. Os temperos a gosto (qb) ficam fora da conta. Enquanto faltar preço, o custo e o preço de referência ficam menores que o real.</t>
        </r>
      </text>
    </comment>
    <comment ref="B13" authorId="0">
      <text>
        <r>
          <t>Estas colunas vêm da aba Ficha Técnica. Para mudar ingrediente ou quantidade, altere lá.</t>
        </r>
      </text>
    </comment>
    <comment ref="F13" authorId="0">
      <text>
        <r>
          <t>Preencha o conteúdo da embalagem e o preço pago. A unidade em branco vale a mesma da receita (g, ml ou un). O fator de correção é opcional: use quando o ingrediente perde ou ganha peso no preparo.</t>
        </r>
      </text>
    </comment>
    <comment ref="J13" authorId="0">
      <text>
        <r>
          <t>Colunas calculadas pela planilha. Ficam protegidas para a fórmula não ser apagada sem querer.</t>
        </r>
      </text>
    </comment>
    <comment ref="O13" authorId="0">
      <text>
        <r>
          <t>Só use quando precisar: marque quando a quantidade não foi pesada, e sim estimada.</t>
        </r>
      </text>
    </comment>
    <comment ref="B14" authorId="0">
      <text>
        <r>
          <t>Número da linha. É o mesmo da ficha técnica.</t>
        </r>
      </text>
    </comment>
    <comment ref="C14" authorId="0">
      <text>
        <r>
          <t>Nome do ingrediente. Vem da aba Ficha Técnica: para mudar, altere lá. Produtos PQ aparecem em negrito e em vermelho.</t>
        </r>
      </text>
    </comment>
    <comment ref="D14" authorId="0">
      <text>
        <r>
          <t>Quantidade que vai na receita, já convertida para gramas (g), mililitros (ml) ou unidades (un).</t>
        </r>
      </text>
    </comment>
    <comment ref="E14" authorId="0">
      <text>
        <r>
          <t xml:space="preserve">De onde veio a quantidade:
• informada: o número escrito na ficha, em g, ml ou un;
• a gosto (fora da conta): tempero "qb" sem quantidade, que não entra no custo;
• ⚠️ a gosto (máximo): "qb" custeado com a quantidade máxima esperada (veja a nota da quantidade);
• ⚠️ estimada: quantidade calculada, não pesada (ex.: óleo absorvido na fritura ou colher convertida em gramas);
• ⚠️ falta quantidade: preencha a quantidade na ficha, em g, ml ou un.</t>
        </r>
      </text>
    </comment>
    <comment ref="F14" authorId="0">
      <text>
        <r>
          <t>Conteúdo da embalagem que você compra. Ex.: pacote de 500 g → 500. Saco de 1 kg → 1000 (ou 1, com kg na unidade).</t>
        </r>
      </text>
    </comment>
    <comment ref="G14" authorId="0">
      <text>
        <r>
          <t>Opcional. Em branco, vale a mesma unidade da receita (g, ml ou un). Preencha só quando a embalagem vem em outra unidade, por exemplo kg (saco de 1 kg: conteúdo 1, unidade kg) ou L. Precisa ser compatível com a receita: peso com peso, volume com volume.</t>
        </r>
      </text>
    </comment>
    <comment ref="H14" authorId="0">
      <text>
        <r>
          <t>Preço que você paga pela embalagem inteira, em reais. Fica em vermelho claro enquanto estiver vazio.</t>
        </r>
      </text>
    </comment>
    <comment ref="I14" authorId="0">
      <text>
        <r>
          <t xml:space="preserve">FATOR DE CORREÇÃO (opcional)
Faz o custo considerar o quanto você precisa COMPRAR para chegar à quantidade que a receita USA.
Conta: peso comprado ÷ peso usado na receita.
• Perde peso no preparo (casca, osso, aparas): fator MAIOR que 1.
  Ex.: compra 1,5 kg de joelho para aproveitar 1 kg → 1,5 ÷ 1 = 1,50.
• Ganha peso no preparo (grão que incha ao cozinhar): fator MENOR que 1.
  Ex.: 200 g de grão-de-bico cru rendem 400 g cozido → 200 ÷ 400 = 0,50. A receita usa 400 g cozido, mas você compra só 200 g de grão cru.
• Sem perda nem ganho: deixe vazio (vale 1).</t>
        </r>
      </text>
    </comment>
    <comment ref="J14" authorId="0">
      <text>
        <r>
          <t>Quantidade a comprar = quantidade usada × fator de correção.</t>
        </r>
      </text>
    </comment>
    <comment ref="K14" authorId="0">
      <text>
        <r>
          <t>Preço de 1 grama, 1 mililitro ou 1 unidade, calculado a partir da embalagem.</t>
        </r>
      </text>
    </comment>
    <comment ref="L14" authorId="0">
      <text>
        <r>
          <t>Quanto esse ingrediente custa na receita inteira = quantidade a comprar × preço por g, ml ou un.</t>
        </r>
      </text>
    </comment>
    <comment ref="M14" authorId="0">
      <text>
        <r>
          <t>Quanto esse ingrediente representa no custo total dos ingredientes da receita.</t>
        </r>
      </text>
    </comment>
    <comment ref="N14" authorId="0">
      <text>
        <r>
          <t xml:space="preserve">Avisos da linha:
• falta preço: preencha o preço da embalagem;
• unidade incompatível: a receita está em unidades e a embalagem em peso ou volume (ou o contrário); a conta não é feita;
• ml contado como g: receita e embalagem em medidas diferentes (peso e volume); a planilha conta 1 ml como 1 g, o que é aproximado;
• ⚠️ preço simulado: não encontramos preço público para este item; o valor é só de exemplo.</t>
        </r>
      </text>
    </comment>
    <comment ref="O14" authorId="0">
      <text>
        <r>
          <t>Marque "x" quando a quantidade não foi pesada, e sim estimada. A coluna ORIGEM DA QUANTIDADE passa a mostrar "quantidade estimada".</t>
        </r>
      </text>
    </comment>
    <comment ref="D18" authorId="0">
      <text>
        <r>
          <t>Tempero ou ingrediente a gosto: na ficha fica "qb", mas o custo usa o máximo esperado, para não subestimar. Máximo de 1 g (1 colher de chá rasa, tabela UFG, açafrão em pó), só para o custo. No vídeo entram 1 a 2 pitadas (pitada = 0,25 g, estimativa da tabela); a receita validada diz 'a gosto'.</t>
        </r>
      </text>
    </comment>
    <comment ref="D19" authorId="0">
      <text>
        <r>
          <t>Tempero ou ingrediente a gosto: na ficha fica "qb", mas o custo usa o máximo esperado, para não subestimar. Máximo de 1 g (1 colher de café rasa, tabela UFG), só para o custo. No vídeo, 'um pouquinho de sal' com a colherinha; a mostarda já traz sal.</t>
        </r>
      </text>
    </comment>
    <comment ref="B27" authorId="0">
      <text>
        <r>
          <t>Quantas porções a receita rende. Vem da ficha técnica: para mudar, altere lá.</t>
        </r>
      </text>
    </comment>
    <comment ref="I27" authorId="0">
      <text>
        <r>
          <t>Soma do custo de todos os ingredientes da receita.</t>
        </r>
      </text>
    </comment>
    <comment ref="B28" authorId="0">
      <text>
        <r>
          <t>Custo da embalagem descartável de uma porção para viagem ou delivery (caixinha, pote). Deixe 0 se não usa.</t>
        </r>
      </text>
    </comment>
    <comment ref="I28" authorId="0">
      <text>
        <r>
          <t>Custo dos ingredientes dividido pelo rendimento (número de porções).</t>
        </r>
      </text>
    </comment>
    <comment ref="B29" authorId="0">
      <text>
        <r>
          <t>Margem para perdas e sobras (o que estraga, sobra ou é descartado), em % sobre o custo dos ingredientes. Ex.: 5%.</t>
        </r>
      </text>
    </comment>
    <comment ref="B30" authorId="0">
      <text>
        <r>
          <t>CMV = custo da mercadoria vendida. É quanto do preço de venda vai para pagar o custo do prato. Ex.: CMV de 30% quer dizer que o custo é 30% do preço. O preço de referência pelo CMV é o custo dividido pelo CMV. Escolha na lista (25%, 30%, 35% ou 40%) ou digite outro valor.</t>
        </r>
      </text>
    </comment>
    <comment ref="B31" authorId="0">
      <text>
        <r>
          <t>Opcional: se você já vende este prato, informe o preço atual para ver o CMV real e o lucro bruto.</t>
        </r>
      </text>
    </comment>
    <comment ref="I31" authorId="0">
      <text>
        <r>
          <t>Custo da porção = ingredientes por porção + perdas + embalagem para viagem. É o custo direto do prato: não inclui mão de obra, aluguel, impostos, taxas nem lucro.</t>
        </r>
      </text>
    </comment>
    <comment ref="I32" authorId="0">
      <text>
        <r>
          <t>Preço de referência = custo da porção ÷ CMV desejado. Com CMV de 30%, os ingredientes são 30% do preço e os outros 70% precisam pagar a operação e o lucro. É um atalho: o preço que fecha com o seu negócio está na aba Meu negócio.</t>
        </r>
      </text>
    </comment>
    <comment ref="I33" authorId="0">
      <text>
        <r>
          <t>Margem = preço de referência − custo da porção. Não é lucro: é o que sobra para pagar mão de obra, aluguel, impostos, taxas, marketing e, no fim, o lucro.</t>
        </r>
      </text>
    </comment>
    <comment ref="I34" authorId="0">
      <text>
        <r>
          <t>Preço calculado com os percentuais da aba Meu negócio: custo da porção ÷ (1 − soma dos percentuais). Fica vazio até a aba ser preenchida.</t>
        </r>
      </text>
    </comment>
    <comment ref="I35" authorId="0">
      <text>
        <r>
          <t>CMV real = custo da porção ÷ preço que você já pratica.</t>
        </r>
      </text>
    </comment>
    <comment ref="I36" authorId="0">
      <text>
        <r>
          <t>Margem por porção no preço que você já pratica = preço praticado − custo da porção.</t>
        </r>
      </text>
    </comment>
    <comment ref="I38" authorId="0">
      <text>
        <r>
          <t>Faturamento da receita inteira = preço de referência por porção × número de porções.</t>
        </r>
      </text>
    </comment>
    <comment ref="I39" authorId="0">
      <text>
        <r>
          <t>Custo total da receita inteira = custo da porção × número de porções.</t>
        </r>
      </text>
    </comment>
    <comment ref="I40" authorId="0">
      <text>
        <r>
          <t>Margem da receita inteira = faturamento − custo total. Não é lucro: paga a operação e, no fim, o lucro.</t>
        </r>
      </text>
    </comment>
  </commentList>
</comments>
</file>

<file path=xl/comments3.xml><?xml version="1.0" encoding="utf-8"?>
<comments xmlns="http://schemas.openxmlformats.org/spreadsheetml/2006/main">
  <authors>
    <author>PQ Alimentos</author>
  </authors>
  <commentList>
    <comment ref="B8" authorId="0">
      <text>
        <r>
          <t>Simples Nacional ou o seu regime. Confirme a alíquota com o seu contador. Em % do faturamento. Ex.: se de cada R$ 100 vendidos R$ 8 vão para este item, escreva 8%.</t>
        </r>
      </text>
    </comment>
    <comment ref="B9" authorId="0">
      <text>
        <r>
          <t>Taxa da maquininha e comissão do aplicativo, na média das suas vendas. Em % do faturamento. Ex.: se de cada R$ 100 vendidos R$ 8 vão para este item, escreva 8%.</t>
        </r>
      </text>
    </comment>
    <comment ref="B10" authorId="0">
      <text>
        <r>
          <t>Aluguel, condomínio ou taxa de shopping, salários e encargos, contas (energia, água, gás, internet), contador. Sem a compra de ingredientes e embalagens. Vem sozinho do cálculo abaixo; se já sabe o %, escreva por cima. Em % do faturamento. Ex.: se de cada R$ 100 vendidos R$ 8 vão para este item, escreva 8%.</t>
        </r>
      </text>
    </comment>
    <comment ref="B11" authorId="0">
      <text>
        <r>
          <t>Anúncios, redes sociais, material de divulgação, promoções. Em % do faturamento. Ex.: se de cada R$ 100 vendidos R$ 8 vão para este item, escreva 8%.</t>
        </r>
      </text>
    </comment>
    <comment ref="B12" authorId="0">
      <text>
        <r>
          <t>Manutenção, uniformes, limpeza, armazenamento. Sem a compra de ingredientes: ela já está no custo da porção. Em % do faturamento. Ex.: se de cada R$ 100 vendidos R$ 8 vão para este item, escreva 8%.</t>
        </r>
      </text>
    </comment>
    <comment ref="B13" authorId="0">
      <text>
        <r>
          <t>O que deve sobrar no fim, depois de pagar tudo. Em % do faturamento. Ex.: se de cada R$ 100 vendidos R$ 8 vão para este item, escreva 8%.</t>
        </r>
      </text>
    </comment>
    <comment ref="B15" authorId="0">
      <text>
        <r>
          <t>É o CMV do seu negócio: a parte do preço que sobra para pagar os ingredientes depois da operação e do lucro.</t>
        </r>
      </text>
    </comment>
    <comment ref="B26" authorId="0">
      <text>
        <r>
          <t>Faturamento em que os outros gastos fixos do mês ficam do tamanho certo: gastos fixos ÷ (1 − CMV desejado − impostos − taxas − marketing − outros − lucro).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<sst xmlns="http://schemas.openxmlformats.org/spreadsheetml/2006/main" count="258" uniqueCount="220">
  <si>
    <t>FICHA TÉCNICA</t>
  </si>
  <si>
    <t>Receita profissional · PQ Alimentos Food Service</t>
  </si>
  <si>
    <t>NOME DO PRATO</t>
  </si>
  <si>
    <t>Molho Vegano de Mostarda e Açafrão</t>
  </si>
  <si>
    <t>CATEGORIA</t>
  </si>
  <si>
    <t>Molho</t>
  </si>
  <si>
    <t>RENDIMENTO (porções)</t>
  </si>
  <si>
    <t>PESO DA PORÇÃO (g)</t>
  </si>
  <si>
    <t>TEMPO DE PREPARO</t>
  </si>
  <si>
    <t>Sem fogo · no fouet</t>
  </si>
  <si>
    <t>CHEF / AUTOR</t>
  </si>
  <si>
    <t>Chef Cássio Prados</t>
  </si>
  <si>
    <t>⚠️  Preencha os seus preços na aba Custos</t>
  </si>
  <si>
    <t>O custo e o preço de referência aparecem sozinhos quando os preços forem preenchidos. Campos em verde: você preenche.</t>
  </si>
  <si>
    <t>Nº</t>
  </si>
  <si>
    <t>INGREDIENTES</t>
  </si>
  <si>
    <t>PRODUTO PQ</t>
  </si>
  <si>
    <t>QUANTIDADE</t>
  </si>
  <si>
    <t>UNIDADE</t>
  </si>
  <si>
    <t>MEDIDA CASEIRA</t>
  </si>
  <si>
    <t>CUSTO</t>
  </si>
  <si>
    <t>Azeite extravirgem</t>
  </si>
  <si>
    <t>Não</t>
  </si>
  <si>
    <t>ml</t>
  </si>
  <si>
    <t>4 colheres (sopa)</t>
  </si>
  <si>
    <t>Suco de limão</t>
  </si>
  <si>
    <t>2 colheres (sopa)</t>
  </si>
  <si>
    <t>Mostarda amarela pronta</t>
  </si>
  <si>
    <t>Cúrcuma Açafrão-da-terra PQ</t>
  </si>
  <si>
    <t>Sim</t>
  </si>
  <si>
    <t>qb</t>
  </si>
  <si>
    <t>g</t>
  </si>
  <si>
    <t>a gosto: comece com 1 pitada</t>
  </si>
  <si>
    <t>Sal</t>
  </si>
  <si>
    <t>a gosto: prove antes de salgar</t>
  </si>
  <si>
    <t>CUSTO DOS INGREDIENTES (receita)</t>
  </si>
  <si>
    <t>CUSTO DA PORÇÃO (ingredientes, perdas e embalagem)</t>
  </si>
  <si>
    <t>PREÇO PELO SEU NEGÓCIO (preencha a aba Meu negócio)</t>
  </si>
  <si>
    <t>MARGEM DA RECEITA PELO CMV (paga a operação e o lucro)</t>
  </si>
  <si>
    <t>O custo da porção cobre só o prato. O preço precisa pagar também mão de obra, aluguel, impostos, taxas e o lucro: veja a aba Meu negócio. Composição completa do custo na página 2.</t>
  </si>
  <si>
    <t>MODO DE PREPARO</t>
  </si>
  <si>
    <t>Separar os ingredientes. Colocar o azeite extravirgem na tigela e juntar o suco de limão.</t>
  </si>
  <si>
    <t>Juntar a mostarda e bater com o fouet até emulsionar: o molho fica amarelo, liso e encorpado.</t>
  </si>
  <si>
    <t>Juntar a Cúrcuma Açafrão-da-terra PQ (começar com uma pitada) e bater.</t>
  </si>
  <si>
    <t>Provar antes de salgar (a mostarda já traz sal), acertar com um pouquinho de sal e bater mais um pouco.</t>
  </si>
  <si>
    <t>MONTAGEM E FINALIZAÇÃO</t>
  </si>
  <si>
    <t>DICAS DE PREPARO</t>
  </si>
  <si>
    <t xml:space="preserve">Servir em pote de vidro, como no vídeo.
Vai no fundo da Salada de Pote de Grão-de-Bico.</t>
  </si>
  <si>
    <t xml:space="preserve">Receita vegana. Mostarda amarela pronta: vegana ou de sua preferência.
Molho coringa: serve para folhas, grãos e salada de cuscuz marroquino com grelhado.
A cor amarela da cúrcuma se mantém no molho.</t>
  </si>
  <si>
    <t>CONSERVAÇÃO E VALIDADE</t>
  </si>
  <si>
    <t>ALERGÊNICOS</t>
  </si>
  <si>
    <t>Conserve conforme as boas práticas do seu estabelecimento e o prazo definido pelo seu responsável técnico.</t>
  </si>
  <si>
    <t>Confira sempre os rótulos dos produtos que você usa.</t>
  </si>
  <si>
    <t>PQ Alimentos · grupopq.com.br · Material de referência, de caráter didático: leia a aba Aviso importante</t>
  </si>
  <si>
    <t>COMPOSIÇÃO DE CUSTO E PREÇO</t>
  </si>
  <si>
    <t>TABELA DE PREÇOS DOS INGREDIENTES</t>
  </si>
  <si>
    <t>INGREDIENTE</t>
  </si>
  <si>
    <t>EMBALAGEM</t>
  </si>
  <si>
    <t>PREÇO PAGO</t>
  </si>
  <si>
    <t>USADO (g, ml ou un)</t>
  </si>
  <si>
    <t>% DO CUSTO</t>
  </si>
  <si>
    <t>CUSTO POR PORÇÃO</t>
  </si>
  <si>
    <t>COMO O CUSTO SE DIVIDE</t>
  </si>
  <si>
    <t>Ingredientes da receita</t>
  </si>
  <si>
    <t>Ingredientes por porção</t>
  </si>
  <si>
    <t>Perdas e sobras</t>
  </si>
  <si>
    <t>Embalagem para viagem</t>
  </si>
  <si>
    <t>CUSTO DA PORÇÃO</t>
  </si>
  <si>
    <t>CMV desejado</t>
  </si>
  <si>
    <t>PREÇO DE REFERÊNCIA</t>
  </si>
  <si>
    <t>Margem por porção</t>
  </si>
  <si>
    <t>PREÇO PELO SEU NEGÓCIO</t>
  </si>
  <si>
    <t>RECEITA INTEIRA (porções)</t>
  </si>
  <si>
    <t>Dica: comprar bem faz a diferença. Ingrediente de qualidade, de fornecedor confiável e com preço competitivo, garante o padrão da receita em todo preparo.</t>
  </si>
  <si>
    <t>Faturamento (preço de referência)</t>
  </si>
  <si>
    <t>Custo total da receita</t>
  </si>
  <si>
    <t>MARGEM DA RECEITA</t>
  </si>
  <si>
    <t xml:space="preserve">Como ler: o custo da porção soma ingredientes, perdas e embalagem. O preço de referência é o custo dividido pelo CMV (a parte do preço que paga os ingredientes); o restante paga a operação e o lucro. Para o preço do seu negócio, preencha a aba Meu negócio. </t>
  </si>
  <si>
    <t>PQ Alimentos · grupopq.com.br</t>
  </si>
  <si>
    <t>CALCULADORA DE CUSTO E PREÇO</t>
  </si>
  <si>
    <t>CAMPOS VERDES = VOCÊ PREENCHE</t>
  </si>
  <si>
    <t>As demais células são calculadas e ficam protegidas.</t>
  </si>
  <si>
    <t>PREÇO DE REFERÊNCIA (CMV)</t>
  </si>
  <si>
    <t>MARGEM DA RECEITA (CMV)</t>
  </si>
  <si>
    <t>PREÇOS PREENCHIDOS</t>
  </si>
  <si>
    <t>1. PREÇOS DOS INGREDIENTES</t>
  </si>
  <si>
    <t>Preencha só duas colunas: o CONTEÚDO da embalagem que você compra e o PREÇO pago. A unidade só é preciso quando é diferente da receita (ex.: kg, L).</t>
  </si>
  <si>
    <t>DA FICHA TÉCNICA</t>
  </si>
  <si>
    <t>VOCÊ PREENCHE (campos verdes)</t>
  </si>
  <si>
    <t>CALCULADO</t>
  </si>
  <si>
    <t>AJUSTE</t>
  </si>
  <si>
    <t>QUANTIDADE USADA</t>
  </si>
  <si>
    <t>ORIGEM DA QUANTIDADE</t>
  </si>
  <si>
    <t>CONTEÚDO DA EMBALAGEM</t>
  </si>
  <si>
    <t>UNIDADE (opcional)</t>
  </si>
  <si>
    <t>PREÇO DA EMBALAGEM</t>
  </si>
  <si>
    <t>FATOR DE CORREÇÃO (opcional)</t>
  </si>
  <si>
    <t>QUANTIDADE A COMPRAR</t>
  </si>
  <si>
    <t>PREÇO POR g, ml OU un</t>
  </si>
  <si>
    <t>CUSTO NA RECEITA</t>
  </si>
  <si>
    <t>AVISO</t>
  </si>
  <si>
    <t>ESTIMADA?</t>
  </si>
  <si>
    <t>TOTAL</t>
  </si>
  <si>
    <t>2. PERDAS, EMBALAGEM E CMV (já preenchidos; mude se quiser)</t>
  </si>
  <si>
    <t>3. COMPOSIÇÃO DO PREÇO</t>
  </si>
  <si>
    <t>Rendimento (porções) · vem da ficha</t>
  </si>
  <si>
    <t>Custo dos ingredientes da receita</t>
  </si>
  <si>
    <t>Embalagem para viagem, por porção (R$) · 0 se não usa</t>
  </si>
  <si>
    <t>Perdas e sobras (%)</t>
  </si>
  <si>
    <t>mais perdas e sobras</t>
  </si>
  <si>
    <t>CMV desejado (%) · escolha na lista</t>
  </si>
  <si>
    <t>mais embalagem para viagem</t>
  </si>
  <si>
    <t>Preço que você já pratica, por porção (R$) · opcional</t>
  </si>
  <si>
    <t>O custo da porção cobre só ingredientes, perdas e embalagem. O preço precisa pagar também a operação (mão de obra, aluguel, impostos, taxas, marketing) e o lucro. O preço de referência pelo CMV é um atalho: com CMV de 30%, os outros 70% do preço pagam a operação e o lucro. Para o preço que fecha com a sua operação, preencha a aba Meu negócio.</t>
  </si>
  <si>
    <t>CMV real no preço praticado</t>
  </si>
  <si>
    <t>Margem no preço praticado</t>
  </si>
  <si>
    <t>RECEITA INTEIRA · porções</t>
  </si>
  <si>
    <t>Faturamento (ref. × porções)</t>
  </si>
  <si>
    <t>Custo total (custo × porções)</t>
  </si>
  <si>
    <t>MEU NEGÓCIO: O QUE O PREÇO PRECISA PAGAR</t>
  </si>
  <si>
    <t>O custo da porção (aba Custos) mostra só o custo direto do prato: ingredientes, perdas e embalagem. Para o negócio fechar a conta, o preço de venda também precisa pagar a operação (mão de obra, aluguel, contas, impostos, taxas, marketing) e ainda deixar o lucro. Cada negócio tem os seus números: num shopping entra a taxa do shopping; no delivery, a comissão do aplicativo. Informe abaixo quanto cada item pesa no seu faturamento, em %. A planilha calcula o preço que paga tudo isso e deixa o lucro que você quer.</t>
  </si>
  <si>
    <t>ITEM</t>
  </si>
  <si>
    <t>% DO FATURAMENTO</t>
  </si>
  <si>
    <t>O QUE ENTRA</t>
  </si>
  <si>
    <t>Impostos sobre a venda</t>
  </si>
  <si>
    <t>Simples Nacional ou o seu regime. Confirme a alíquota com o seu contador.</t>
  </si>
  <si>
    <t>Taxas de cartão e de aplicativo de entrega</t>
  </si>
  <si>
    <t>Taxa da maquininha e comissão do aplicativo, na média das suas vendas.</t>
  </si>
  <si>
    <t>Custos fixos</t>
  </si>
  <si>
    <t>Aluguel, condomínio ou taxa de shopping, salários e encargos, contas (energia, água, gás, internet), contador. Sem a compra de ingredientes e embalagens. Vem sozinho do cálculo abaixo; se já sabe o %, escreva por cima.</t>
  </si>
  <si>
    <t>Marketing e promoção</t>
  </si>
  <si>
    <t>Anúncios, redes sociais, material de divulgação, promoções.</t>
  </si>
  <si>
    <t>Outros custos da operação</t>
  </si>
  <si>
    <t>Manutenção, uniformes, limpeza, armazenamento. Sem a compra de ingredientes: ela já está no custo da porção.</t>
  </si>
  <si>
    <t>Lucro que você quer ter</t>
  </si>
  <si>
    <t>O que deve sobrar no fim, depois de pagar tudo.</t>
  </si>
  <si>
    <t>TOTAL DA OPERAÇÃO E DO LUCRO</t>
  </si>
  <si>
    <t>Sobra para os ingredientes (o seu CMV)</t>
  </si>
  <si>
    <t>CUSTOS FIXOS: CALCULE COM OS NÚMEROS DO MÊS</t>
  </si>
  <si>
    <t>Faturamento médio do mês (R$)</t>
  </si>
  <si>
    <t>Média de vendas dos últimos meses.</t>
  </si>
  <si>
    <t>Compras de ingredientes e embalagens do mês (R$)</t>
  </si>
  <si>
    <t>Fica FORA dos custos fixos: o ingrediente e a embalagem já estão no custo da porção. Serve para mostrar o seu CMV de hoje.</t>
  </si>
  <si>
    <t>Outros gastos fixos do mês (R$)</t>
  </si>
  <si>
    <t>Aluguel ou taxa de shopping, salários e encargos, contas (energia, água, gás, internet), contador. Sem impostos, taxas de cartão e marketing: eles têm linha própria acima.</t>
  </si>
  <si>
    <t>Custos fixos em % do faturamento</t>
  </si>
  <si>
    <t>Vai sozinho para a linha Custos fixos, acima.</t>
  </si>
  <si>
    <t>Seu CMV hoje (compras ÷ faturamento)</t>
  </si>
  <si>
    <t>SAÚDE DO NEGÓCIO</t>
  </si>
  <si>
    <t>Faturamento necessário no mês (R$)</t>
  </si>
  <si>
    <t>Com o CMV desejado e os outros percentuais acima. Abaixo disso, o preço do prato sobe até ficar impossível de vender.</t>
  </si>
  <si>
    <t>RESULTADO POR PORÇÃO</t>
  </si>
  <si>
    <t>Custo da porção (aba Custos)</t>
  </si>
  <si>
    <t>Para comparar: preço de referência pelo CMV</t>
  </si>
  <si>
    <t>QUANTAS PORÇÕES PAGAM O CUSTO FIXO</t>
  </si>
  <si>
    <t>Preço usado na conta</t>
  </si>
  <si>
    <t>Cada porção deixa para o custo fixo e o lucro</t>
  </si>
  <si>
    <t>Porções por mês para este prato pagar, sozinho, o custo fixo</t>
  </si>
  <si>
    <t>Se só este prato pagasse o custo fixo do mês. Na prática, todo o cardápio divide essa conta.</t>
  </si>
  <si>
    <t>Quantas porções deste prato você vende por mês?</t>
  </si>
  <si>
    <t>Opcional. Mostra quanto este prato ajuda a pagar o custo fixo.</t>
  </si>
  <si>
    <t>Este prato paga do custo fixo, por mês</t>
  </si>
  <si>
    <t>Como funciona: preço = custo da porção ÷ (1 − total da operação e do lucro). Ex.: com custo de R$ 3,00 e operação mais lucro somando 70%, o preço é R$ 3,00 ÷ 0,30 = R$ 10,00. O custo fixo entra em % do faturamento e sem a compra de ingredientes, que já está no custo da porção. Os percentuais e o preço final são de responsabilidade de quem usa; confirme com o seu contador. Leia a aba Aviso importante.</t>
  </si>
  <si>
    <t>Ficha técnica com calculadora de custo</t>
  </si>
  <si>
    <t>Aviso importante</t>
  </si>
  <si>
    <t>Para que serve este material e o que cabe a quem usa. Leia antes de usar a ficha.</t>
  </si>
  <si>
    <t>PARA QUE SERVE</t>
  </si>
  <si>
    <t>Para que nasceu a ficha técnica</t>
  </si>
  <si>
    <t>A ficha técnica orienta o preparo da receita e a operação padronizada da cozinha: ingredientes, quantidades, modo de preparo, montagem, conservação e alergênicos.</t>
  </si>
  <si>
    <t>Por que ela traz uma calculadora de custo</t>
  </si>
  <si>
    <t>Vimos a oportunidade de apoiar quem ainda não tem experiência com fichas técnicas e composição de custo, em cozinhas industriais e em restaurantes pequenos, médios e grandes. A calculadora entrega um material já formatado, como base para cada negócio começar o próprio trabalho e continuar a partir do ponto em que paramos.</t>
  </si>
  <si>
    <t>O objetivo</t>
  </si>
  <si>
    <t>Padronizar a cozinha, comprar bem e manter o custo sob controle, e dar foco aos produtos mais interessantes para cada tipo de negócio ou estabelecimento.</t>
  </si>
  <si>
    <t>O QUE CABE A QUEM USA</t>
  </si>
  <si>
    <t>Os números são referência, de caráter didático</t>
  </si>
  <si>
    <t>Esta ficha vem sem preços: cada cozinha preenche os que paga. Os valores de partida (perdas, CMV) são exemplos. Nada disso substitui os números reais do seu negócio.</t>
  </si>
  <si>
    <t>!</t>
  </si>
  <si>
    <t>A responsabilidade é de quem usa</t>
  </si>
  <si>
    <t>Quem baixa e usa este material é responsável por conferir, validar e verificar todos os dados: preços pagos, quantidades, rendimento, impostos, custos fixos, margens e o preço final. Aceitar ou usar os valores desta ficha não transfere à PQ Alimentos nenhuma responsabilidade pela formação de preço, pelas decisões ou pelos resultados do negócio.</t>
  </si>
  <si>
    <t>Confirme com o seu contador</t>
  </si>
  <si>
    <t>Impostos, encargos e formação de preço dependem do regime tributário e da operação de cada estabelecimento. Levante os detalhes com o seu contador ou com o método de custos que você preferir.</t>
  </si>
  <si>
    <t>Não há suporte para formação de preço</t>
  </si>
  <si>
    <t>A PQ Alimentos não oferece atendimento nem consultoria para formação de preço de restaurantes. O apoio é este material pré-formatado, como ponto de partida.</t>
  </si>
  <si>
    <t>Rótulos e alergênicos</t>
  </si>
  <si>
    <t>Da receita padronizada ao preço de venda que fecha a conta do seu negócio, em quatro abas.</t>
  </si>
  <si>
    <t>O QUE ESTA FERRAMENTA FAZ POR VOCÊ</t>
  </si>
  <si>
    <t>●</t>
  </si>
  <si>
    <t>Padroniza o preparo: Ingredientes, quantidades, modo de preparo, montagem, conservação e alergênicos numa ficha pronta para imprimir e deixar na cozinha.</t>
  </si>
  <si>
    <t>Calcula o custo da porção: Ingredientes, perdas e embalagem para viagem, a partir dos preços que você paga.</t>
  </si>
  <si>
    <t>Mostra onde está o custo: A página 2 da ficha traz a composição do custo, ingrediente por ingrediente.</t>
  </si>
  <si>
    <t>Indica o preço de venda: Pelo CMV ou pela conta completa do seu negócio: impostos, taxas, custos fixos, marketing e o lucro que você quer ter.</t>
  </si>
  <si>
    <t>PASSO A PASSO</t>
  </si>
  <si>
    <t>Ficha Técnica: confira a receita</t>
  </si>
  <si>
    <t>Abrir a aba  ›</t>
  </si>
  <si>
    <t xml:space="preserve">Prato, rendimento, peso da porção, ingredientes, modo de preparo, montagem, dicas, conservação e alergênicos.
•  Quantidades em g, kg, ml, L ou un. A medida caseira (colher, xícara) fica ao lado, como referência para quem prepara.
•  Tempero a gosto ("qb"): quando a ficha indica uma quantidade de referência, ela entra no custo; sem indicação, fica fora da conta.
•  Os produtos PQ aparecem em vermelho. A página 2 mostra a composição do custo e o preço.</t>
  </si>
  <si>
    <t>Custos: coloque os preços que você paga</t>
  </si>
  <si>
    <t xml:space="preserve">Em cada ingrediente, preencha CONTEÚDO e PREÇO da embalagem que você compra (ex.: pacote de 500 g por R$ 10,00 → conteúdo 500, preço 10). A planilha calcula o preço por grama.
•  UNIDADE: deixe em branco quando for a mesma da receita; preencha se a embalagem vier em kg ou L.
•  FATOR DE CORREÇÃO (opcional): peso comprado ÷ peso usado na receita. Maior que 1 quando perde peso (compra 1,5 kg de joelho para aproveitar 1 kg = 1,50); menor que 1 quando ganha peso (200 g de grão-de-bico cru rendem 400 g cozido = 0,50). Sem perda nem ganho, deixe vazio.
•  Embalagem para viagem, perdas e CMV já vêm com valores de partida; mude se quiser. O CMV se escolhe numa lista.
•  CUSTO DA PORÇÃO = ingredientes + perdas + embalagem: é o custo direto do prato, sem mão de obra, aluguel, impostos nem lucro.
•  PREÇO DE REFERÊNCIA = custo da porção ÷ CMV. Com CMV de 30%, os outros 70% do preço pagam a operação e o lucro.</t>
  </si>
  <si>
    <t>Meu negócio: feche a conta</t>
  </si>
  <si>
    <t xml:space="preserve">Informe quanto impostos, taxas, custos fixos, marketing, outros custos e o lucro desejado pesam no seu faturamento, em %. A planilha calcula o preço que paga tudo isso.
•  Custos fixos: informe faturamento, compras de ingredientes e outros gastos do mês. A compra de ingredientes fica fora, porque já está no custo da porção.
•  Saúde do negócio: avisa quando os custos fixos estão altos para o volume de vendas e mostra o faturamento necessário.
•  Quantas porções pagam o custo fixo: quanto cada porção deixa e quanto o prato ajuda no mês.</t>
  </si>
  <si>
    <t>Aviso importante: leia antes de usar</t>
  </si>
  <si>
    <t>Este material é uma referência de caráter didático. Os dados e os preços são responsabilidade de quem usa.</t>
  </si>
  <si>
    <t>FATOR DE CORREÇÃO: QUANDO E COMO USAR</t>
  </si>
  <si>
    <t>A</t>
  </si>
  <si>
    <t>Para que serve</t>
  </si>
  <si>
    <t>A receita diz quanto VAI NO PRATO. O fator de correção faz o custo considerar quanto você precisa COMPRAR para chegar lá. Sem ele, o custo de quem descasca, desossa ou cozinha grãos sai errado.</t>
  </si>
  <si>
    <t>B</t>
  </si>
  <si>
    <t>Quando usar</t>
  </si>
  <si>
    <t xml:space="preserve">•  Perde peso no preparo (casca, osso, gordura, aparas, talos): legumes e frutas descascados, carnes com osso, peixe inteiro. Fator MAIOR que 1.
•  Ganha peso no preparo: grãos que incham ao cozinhar (grão-de-bico, feijão, arroz), quando a receita pede o ingrediente já cozido e você compra cru. Fator MENOR que 1.
•  Não muda: temperos, azeite, ingredientes usados como vêm da embalagem. Deixe vazio (vale 1).</t>
  </si>
  <si>
    <t>C</t>
  </si>
  <si>
    <t>Como descobrir o seu fator, na sua cozinha</t>
  </si>
  <si>
    <t xml:space="preserve">1.  Pese o ingrediente do jeito que você compra.
2.  Faça o pré-preparo como de costume (descascar, desossar, limpar, cozinhar) e pese o que fica para usar.
3.  Divida: peso comprado ÷ peso usado. Escreva o resultado na coluna FATOR DE CORREÇÃO da aba Custos.
4.  Meça duas ou três vezes e use a média. Refaça quando trocar de fornecedor, de corte ou de tamanho: o aproveitamento muda.</t>
  </si>
  <si>
    <t>D</t>
  </si>
  <si>
    <t>Exemplos</t>
  </si>
  <si>
    <t xml:space="preserve">•  Joelho de porco: compra 1,5 kg e aproveita 1 kg depois de tirar osso e gordura → 1,5 ÷ 1 = 1,50.
•  Grão-de-bico: 200 g de grão cru rendem cerca de 400 g cozido → 200 ÷ 400 = 0,50. A receita usa 400 g cozido, mas você compra só 200 g de grão cru.
Na aba Custos, a coluna QUANTIDADE A COMPRAR mostra a conta pronta: quantidade da receita × fator.</t>
  </si>
  <si>
    <t>BOM SABER</t>
  </si>
  <si>
    <t>Campos em verde-limão: você preenche. Só eles têm essa cor; o resto a planilha calcula sozinha.</t>
  </si>
  <si>
    <t>R$</t>
  </si>
  <si>
    <t>A ficha vem sem preços: preencha os que você paga, e o custo e o preço ficam do jeito do seu negócio.</t>
  </si>
  <si>
    <t>fx</t>
  </si>
  <si>
    <t>As células com conta são protegidas para a fórmula não ser apagada sem querer. Textos e quantidades podem ser editados à vontade. Para mudar uma conta: Revisão &gt; Desproteger Planilha (não há senha).</t>
  </si>
</sst>
</file>

<file path=xl/styles.xml><?xml version="1.0" encoding="utf-8"?>
<styleSheet xmlns="http://schemas.openxmlformats.org/spreadsheetml/2006/main">
  <numFmts count="6">
    <numFmt numFmtId="164" formatCode="0.0%"/>
    <numFmt numFmtId="165" formatCode="&quot;R$&quot; #,##0.00"/>
    <numFmt numFmtId="166" formatCode="&quot;R$&quot; #,##0.00;-&quot;R$&quot; #,##0.00;&quot;–&quot;"/>
    <numFmt numFmtId="167" formatCode="#,##0.0"/>
    <numFmt numFmtId="168" formatCode="&quot;R$&quot; #,##0.0000"/>
    <numFmt numFmtId="169" formatCode="0% &quot;do custo&quot;"/>
  </numFmts>
  <fonts count="64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8"/>
      <color rgb="FFE10614"/>
      <name val="Calibri"/>
      <family val="2"/>
    </font>
    <font>
      <b/>
      <sz val="12"/>
      <color theme="1"/>
      <name val="Calibri"/>
      <family val="2"/>
    </font>
    <font>
      <b/>
      <sz val="12"/>
      <color rgb="FF0D6EB0"/>
      <name val="Calibri"/>
      <family val="2"/>
    </font>
    <font>
      <sz val="10"/>
      <color theme="1"/>
      <name val="Calibri"/>
      <family val="2"/>
    </font>
    <font>
      <sz val="10"/>
      <color rgb="FF6B5A3A"/>
      <name val="Calibri"/>
      <family val="2"/>
    </font>
    <font>
      <b/>
      <sz val="8"/>
      <color theme="1"/>
      <name val="Calibri"/>
      <family val="2"/>
    </font>
    <font>
      <b/>
      <sz val="8"/>
      <color rgb="FFFFFFFF"/>
      <name val="Calibri"/>
      <family val="2"/>
    </font>
    <font>
      <sz val="8"/>
      <color theme="1"/>
      <name val="Calibri"/>
      <family val="2"/>
    </font>
    <font>
      <sz val="8"/>
      <color rgb="FF5F5F5F"/>
      <name val="Calibri"/>
      <family val="2"/>
    </font>
    <font>
      <b/>
      <sz val="10"/>
      <color theme="1"/>
      <name val="Calibri"/>
      <family val="2"/>
    </font>
    <font>
      <b/>
      <sz val="10"/>
      <color rgb="FF0A4F80"/>
      <name val="Calibri"/>
      <family val="2"/>
    </font>
    <font>
      <b/>
      <sz val="10"/>
      <color rgb="FF0D6EB0"/>
      <name val="Calibri"/>
      <family val="2"/>
    </font>
    <font>
      <b/>
      <sz val="10"/>
      <color rgb="FF6B5A3A"/>
      <name val="Calibri"/>
      <family val="2"/>
    </font>
    <font>
      <b/>
      <sz val="12"/>
      <color rgb="FFFFFFFF"/>
      <name val="Calibri"/>
      <family val="2"/>
    </font>
    <font>
      <sz val="9"/>
      <color theme="1"/>
      <name val="Calibri"/>
      <family val="2"/>
    </font>
    <font>
      <sz val="9"/>
      <color rgb="FF5F5F5F"/>
      <name val="Calibri"/>
      <family val="2"/>
    </font>
    <font>
      <b/>
      <sz val="13"/>
      <color theme="1"/>
      <name val="Calibri"/>
      <family val="2"/>
    </font>
    <font>
      <b/>
      <sz val="13"/>
      <color rgb="FF7A4A00"/>
      <name val="Calibri"/>
      <family val="2"/>
    </font>
    <font>
      <sz val="9"/>
      <color rgb="FF6B5A3A"/>
      <name val="Calibri"/>
      <family val="2"/>
    </font>
    <font>
      <b/>
      <sz val="11"/>
      <color rgb="FF3F6B00"/>
      <name val="Calibri"/>
      <family val="2"/>
    </font>
    <font>
      <i/>
      <sz val="11"/>
      <color theme="1"/>
      <name val="Calibri"/>
      <family val="2"/>
    </font>
    <font>
      <i/>
      <sz val="8"/>
      <color theme="1"/>
      <name val="Calibri"/>
      <family val="2"/>
    </font>
    <font>
      <i/>
      <sz val="8"/>
      <color rgb="FF5F5F5F"/>
      <name val="Calibri"/>
      <family val="2"/>
    </font>
    <font>
      <sz val="9"/>
      <color rgb="FF7A4F00"/>
      <name val="Calibri"/>
      <family val="2"/>
    </font>
    <font>
      <b/>
      <sz val="9"/>
      <color theme="1"/>
      <name val="Calibri"/>
      <family val="2"/>
    </font>
    <font>
      <b/>
      <sz val="9"/>
      <color rgb="FFE10614"/>
      <name val="Calibri"/>
      <family val="2"/>
    </font>
    <font>
      <b/>
      <sz val="9"/>
      <color rgb="FF0A4F80"/>
      <name val="Calibri"/>
      <family val="2"/>
    </font>
    <font>
      <b/>
      <sz val="16"/>
      <color theme="1"/>
      <name val="Calibri"/>
      <family val="2"/>
    </font>
    <font>
      <b/>
      <sz val="16"/>
      <color rgb="FFFFFFFF"/>
      <name val="Calibri"/>
      <family val="2"/>
    </font>
    <font>
      <b/>
      <sz val="8"/>
      <color rgb="FF0A4F80"/>
      <name val="Calibri"/>
      <family val="2"/>
    </font>
    <font>
      <b/>
      <sz val="16"/>
      <color rgb="FF0A4F80"/>
      <name val="Calibri"/>
      <family val="2"/>
    </font>
    <font>
      <b/>
      <sz val="11"/>
      <color rgb="FF0D6EB0"/>
      <name val="Calibri"/>
      <family val="2"/>
    </font>
    <font>
      <i/>
      <sz val="9"/>
      <color theme="1"/>
      <name val="Calibri"/>
      <family val="2"/>
    </font>
    <font>
      <i/>
      <sz val="9"/>
      <color rgb="FF5F5F5F"/>
      <name val="Calibri"/>
      <family val="2"/>
    </font>
    <font>
      <b/>
      <sz val="8"/>
      <color rgb="FF5F5F5F"/>
      <name val="Calibri"/>
      <family val="2"/>
    </font>
    <font>
      <b/>
      <sz val="8"/>
      <color rgb="FF3F6B00"/>
      <name val="Calibri"/>
      <family val="2"/>
    </font>
    <font>
      <b/>
      <sz val="26"/>
      <color theme="1"/>
      <name val="Calibri"/>
      <family val="2"/>
    </font>
    <font>
      <b/>
      <sz val="26"/>
      <color rgb="FFE10614"/>
      <name val="Calibri"/>
      <family val="2"/>
    </font>
    <font>
      <sz val="10"/>
      <color rgb="FF0D6EB0"/>
      <name val="Calibri"/>
      <family val="2"/>
    </font>
    <font>
      <b/>
      <sz val="15"/>
      <color theme="1"/>
      <name val="Calibri"/>
      <family val="2"/>
    </font>
    <font>
      <b/>
      <sz val="15"/>
      <color rgb="FF0A4F80"/>
      <name val="Calibri"/>
      <family val="2"/>
    </font>
    <font>
      <b/>
      <sz val="7"/>
      <color theme="1"/>
      <name val="Calibri"/>
      <family val="2"/>
    </font>
    <font>
      <b/>
      <sz val="7"/>
      <color rgb="FFFFFFFF"/>
      <name val="Calibri"/>
      <family val="2"/>
    </font>
    <font>
      <b/>
      <sz val="11"/>
      <color rgb="FFE10614"/>
      <name val="Calibri"/>
      <family val="2"/>
    </font>
    <font>
      <b/>
      <sz val="10"/>
      <color rgb="FFE10614"/>
      <name val="Calibri"/>
      <family val="2"/>
    </font>
    <font>
      <b/>
      <sz val="8"/>
      <color rgb="FFE10614"/>
      <name val="Calibri"/>
      <family val="2"/>
    </font>
    <font>
      <b/>
      <sz val="12"/>
      <color rgb="FF0A4F80"/>
      <name val="Calibri"/>
      <family val="2"/>
    </font>
    <font>
      <b/>
      <sz val="11"/>
      <color rgb="FF0A4F80"/>
      <name val="Calibri"/>
      <family val="2"/>
    </font>
    <font>
      <b/>
      <sz val="9"/>
      <color rgb="FF5F5F5F"/>
      <name val="Calibri"/>
      <family val="2"/>
    </font>
    <font>
      <b/>
      <sz val="20"/>
      <color theme="1"/>
      <name val="Calibri"/>
      <family val="2"/>
    </font>
    <font>
      <b/>
      <sz val="20"/>
      <color rgb="FF0A4F80"/>
      <name val="Calibri"/>
      <family val="2"/>
    </font>
    <font>
      <sz val="11"/>
      <color rgb="FF5F5F5F"/>
      <name val="Calibri"/>
      <family val="2"/>
    </font>
    <font>
      <sz val="10"/>
      <color rgb="FF333333"/>
      <name val="Calibri"/>
      <family val="2"/>
    </font>
    <font>
      <b/>
      <sz val="14"/>
      <color theme="1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b/>
      <u/>
      <sz val="11"/>
      <color theme="10"/>
      <name val="Calibri"/>
      <family val="2"/>
    </font>
    <font>
      <b/>
      <u/>
      <sz val="9"/>
      <color theme="10"/>
      <name val="Calibri"/>
      <family val="2"/>
    </font>
    <font>
      <b/>
      <u/>
      <sz val="9"/>
      <color rgb="FFFFFFFF"/>
      <name val="Calibri"/>
      <family val="2"/>
    </font>
    <font>
      <b/>
      <sz val="12"/>
      <color rgb="FF7A4A00"/>
      <name val="Calibri"/>
      <family val="2"/>
    </font>
    <font>
      <b/>
      <sz val="10"/>
      <color rgb="FFFFFFFF"/>
      <name val="Calibri"/>
      <family val="2"/>
    </font>
  </fonts>
  <fills count="12">
    <fill>
      <patternFill patternType="none"/>
    </fill>
    <fill>
      <patternFill patternType="gray125">
        <bgColor indexed="64"/>
      </patternFill>
    </fill>
    <fill>
      <patternFill patternType="solid">
        <fgColor rgb="FFFFF6DD"/>
        <bgColor indexed="64"/>
      </patternFill>
    </fill>
    <fill>
      <patternFill patternType="solid">
        <fgColor rgb="FF0D6EB0"/>
        <bgColor indexed="64"/>
      </patternFill>
    </fill>
    <fill>
      <patternFill patternType="solid">
        <fgColor rgb="FFE4F7B5"/>
        <bgColor indexed="64"/>
      </patternFill>
    </fill>
    <fill>
      <patternFill patternType="solid">
        <fgColor rgb="FFE8F1F8"/>
        <bgColor indexed="64"/>
      </patternFill>
    </fill>
    <fill>
      <patternFill patternType="solid">
        <fgColor rgb="FFF4F4F4"/>
        <bgColor indexed="64"/>
      </patternFill>
    </fill>
    <fill>
      <patternFill patternType="solid">
        <fgColor rgb="FFE10614"/>
        <bgColor indexed="64"/>
      </patternFill>
    </fill>
    <fill>
      <patternFill patternType="solid">
        <fgColor rgb="FFF0A202"/>
        <bgColor indexed="64"/>
      </patternFill>
    </fill>
    <fill>
      <patternFill patternType="solid">
        <fgColor rgb="FF0A4F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5F5F5F"/>
        <bgColor indexed="64"/>
      </patternFill>
    </fill>
  </fills>
  <borders count="16">
    <border>
      <left/>
      <right/>
      <top/>
      <bottom/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rgb="FF8BC34A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8BC34A"/>
      </left>
      <right style="thin">
        <color rgb="FF8BC34A"/>
      </right>
      <top style="thin">
        <color indexed="64"/>
      </top>
      <bottom style="thin">
        <color rgb="FF8BC34A"/>
      </bottom>
      <diagonal/>
    </border>
    <border>
      <left style="medium">
        <color rgb="FF8BC34A"/>
      </left>
      <right/>
      <top style="medium">
        <color rgb="FF8BC34A"/>
      </top>
      <bottom style="medium">
        <color rgb="FF8BC34A"/>
      </bottom>
      <diagonal/>
    </border>
    <border>
      <left/>
      <right/>
      <top style="medium">
        <color rgb="FF8BC34A"/>
      </top>
      <bottom style="medium">
        <color rgb="FF8BC34A"/>
      </bottom>
      <diagonal/>
    </border>
    <border>
      <left/>
      <right style="medium">
        <color rgb="FF8BC34A"/>
      </right>
      <top style="medium">
        <color rgb="FF8BC34A"/>
      </top>
      <bottom style="medium">
        <color rgb="FF8BC34A"/>
      </bottom>
      <diagonal/>
    </border>
    <border>
      <left style="thin">
        <color rgb="FF8BC34A"/>
      </left>
      <right/>
      <top style="thin">
        <color rgb="FF8BC34A"/>
      </top>
      <bottom style="thin">
        <color rgb="FF8BC34A"/>
      </bottom>
      <diagonal/>
    </border>
    <border>
      <left/>
      <right style="thin">
        <color rgb="FF8BC34A"/>
      </right>
      <top style="thin">
        <color rgb="FF8BC34A"/>
      </top>
      <bottom style="thin">
        <color rgb="FF8BC34A"/>
      </bottom>
      <diagonal/>
    </border>
    <border>
      <left/>
      <right/>
      <top/>
      <bottom style="medium">
        <color rgb="FFE10614"/>
      </bottom>
      <diagonal/>
    </border>
    <border>
      <left/>
      <right/>
      <top/>
      <bottom style="hair">
        <color rgb="FFD0D0D0"/>
      </bottom>
      <diagonal/>
    </border>
    <border>
      <left style="thick">
        <color rgb="FF8BC34A"/>
      </left>
      <right style="thick">
        <color rgb="FF8BC34A"/>
      </right>
      <top style="thick">
        <color rgb="FF8BC34A"/>
      </top>
      <bottom style="thick">
        <color rgb="FF8BC34A"/>
      </bottom>
      <diagonal/>
    </border>
  </borders>
  <cellStyleXfs count="1">
    <xf numFmtId="0" fontId="0" fillId="0" borderId="0"/>
  </cellStyleXfs>
  <cellXfs count="5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2" borderId="0" xfId="0" applyFont="1" applyFill="1"/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horizontal="left" vertical="top" wrapText="1" indent="1"/>
    </xf>
    <xf numFmtId="0" fontId="8" fillId="0" borderId="0" xfId="0" applyFont="1"/>
    <xf numFmtId="0" fontId="9" fillId="0" borderId="0" xfId="0" applyFont="1"/>
    <xf numFmtId="0" fontId="9" fillId="3" borderId="0" xfId="0" applyFont="1" applyFill="1"/>
    <xf numFmtId="0" fontId="9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Protection="1">
      <protection locked="0" hidden="0"/>
    </xf>
    <xf numFmtId="164" fontId="0" fillId="4" borderId="1" xfId="0" applyNumberFormat="1" applyFill="1" applyBorder="1" applyProtection="1">
      <protection locked="0" hidden="0"/>
    </xf>
    <xf numFmtId="164" fontId="6" fillId="4" borderId="1" xfId="0" applyNumberFormat="1" applyFont="1" applyFill="1" applyBorder="1" applyProtection="1">
      <protection locked="0" hidden="0"/>
    </xf>
    <xf numFmtId="0" fontId="6" fillId="0" borderId="0" xfId="0" applyFont="1" applyAlignment="1">
      <alignment vertical="center"/>
    </xf>
    <xf numFmtId="164" fontId="6" fillId="4" borderId="1" xfId="0" applyNumberFormat="1" applyFont="1" applyFill="1" applyBorder="1" applyAlignment="1" applyProtection="1">
      <alignment vertical="center"/>
      <protection locked="0" hidden="0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164" fontId="6" fillId="4" borderId="1" xfId="0" applyNumberFormat="1" applyFont="1" applyFill="1" applyBorder="1" applyAlignment="1" applyProtection="1">
      <alignment horizontal="center" vertical="center"/>
      <protection locked="0" hidden="0"/>
    </xf>
    <xf numFmtId="0" fontId="6" fillId="0" borderId="2" xfId="0" applyFont="1" applyBorder="1" applyAlignment="1">
      <alignment vertical="center"/>
    </xf>
    <xf numFmtId="164" fontId="6" fillId="4" borderId="3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164" fontId="6" fillId="4" borderId="5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4" xfId="0" applyFont="1" applyBorder="1" applyAlignment="1">
      <alignment vertical="center" wrapText="1"/>
    </xf>
    <xf numFmtId="0" fontId="6" fillId="0" borderId="6" xfId="0" applyFont="1" applyBorder="1" applyAlignment="1">
      <alignment vertical="center"/>
    </xf>
    <xf numFmtId="164" fontId="6" fillId="4" borderId="7" xfId="0" applyNumberFormat="1" applyFont="1" applyFill="1" applyBorder="1" applyAlignment="1" applyProtection="1">
      <alignment horizontal="center" vertical="center"/>
      <protection locked="0" hidden="0"/>
    </xf>
    <xf numFmtId="0" fontId="11" fillId="0" borderId="6" xfId="0" applyFont="1" applyBorder="1" applyAlignment="1">
      <alignment vertical="center" wrapText="1"/>
    </xf>
    <xf numFmtId="164" fontId="0" fillId="0" borderId="0" xfId="0" applyNumberFormat="1"/>
    <xf numFmtId="164" fontId="1" fillId="0" borderId="0" xfId="0" applyNumberFormat="1" applyFont="1"/>
    <xf numFmtId="0" fontId="12" fillId="0" borderId="0" xfId="0" applyFont="1"/>
    <xf numFmtId="164" fontId="12" fillId="0" borderId="0" xfId="0" applyNumberFormat="1" applyFont="1"/>
    <xf numFmtId="0" fontId="13" fillId="0" borderId="0" xfId="0" applyFont="1"/>
    <xf numFmtId="164" fontId="13" fillId="0" borderId="0" xfId="0" applyNumberFormat="1" applyFont="1"/>
    <xf numFmtId="0" fontId="13" fillId="5" borderId="0" xfId="0" applyFont="1" applyFill="1"/>
    <xf numFmtId="164" fontId="13" fillId="5" borderId="0" xfId="0" applyNumberFormat="1" applyFont="1" applyFill="1"/>
    <xf numFmtId="0" fontId="13" fillId="5" borderId="0" xfId="0" applyFont="1" applyFill="1" applyAlignment="1">
      <alignment vertical="center"/>
    </xf>
    <xf numFmtId="164" fontId="13" fillId="5" borderId="0" xfId="0" applyNumberFormat="1" applyFont="1" applyFill="1" applyAlignment="1">
      <alignment vertical="center"/>
    </xf>
    <xf numFmtId="164" fontId="13" fillId="5" borderId="0" xfId="0" applyNumberFormat="1" applyFont="1" applyFill="1" applyAlignment="1">
      <alignment horizontal="center" vertical="center"/>
    </xf>
    <xf numFmtId="0" fontId="14" fillId="0" borderId="0" xfId="0" applyFont="1"/>
    <xf numFmtId="0" fontId="14" fillId="0" borderId="2" xfId="0" applyFont="1" applyBorder="1"/>
    <xf numFmtId="165" fontId="0" fillId="4" borderId="1" xfId="0" applyNumberFormat="1" applyFill="1" applyBorder="1" applyProtection="1">
      <protection locked="0" hidden="0"/>
    </xf>
    <xf numFmtId="165" fontId="6" fillId="4" borderId="1" xfId="0" applyNumberFormat="1" applyFont="1" applyFill="1" applyBorder="1" applyProtection="1">
      <protection locked="0" hidden="0"/>
    </xf>
    <xf numFmtId="164" fontId="6" fillId="0" borderId="0" xfId="0" applyNumberFormat="1" applyFont="1"/>
    <xf numFmtId="165" fontId="6" fillId="4" borderId="1" xfId="0" applyNumberFormat="1" applyFont="1" applyFill="1" applyBorder="1" applyAlignment="1" applyProtection="1">
      <alignment vertical="center"/>
      <protection locked="0" hidden="0"/>
    </xf>
    <xf numFmtId="164" fontId="6" fillId="0" borderId="0" xfId="0" applyNumberFormat="1" applyFont="1" applyAlignment="1">
      <alignment vertical="center"/>
    </xf>
    <xf numFmtId="165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4" fontId="6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64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/>
    </xf>
    <xf numFmtId="164" fontId="1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5" fillId="0" borderId="0" xfId="0" applyFont="1"/>
    <xf numFmtId="0" fontId="15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 applyAlignment="1">
      <alignment vertical="center" wrapText="1"/>
    </xf>
    <xf numFmtId="0" fontId="15" fillId="2" borderId="0" xfId="0" applyFont="1" applyFill="1" applyAlignment="1">
      <alignment horizontal="left" vertical="center" wrapText="1" indent="1"/>
    </xf>
    <xf numFmtId="165" fontId="0" fillId="0" borderId="0" xfId="0" applyNumberFormat="1"/>
    <xf numFmtId="165" fontId="1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5" fontId="13" fillId="5" borderId="0" xfId="0" applyNumberFormat="1" applyFont="1" applyFill="1"/>
    <xf numFmtId="165" fontId="13" fillId="5" borderId="0" xfId="0" applyNumberFormat="1" applyFont="1" applyFill="1" applyAlignment="1">
      <alignment vertical="center"/>
    </xf>
    <xf numFmtId="165" fontId="13" fillId="5" borderId="0" xfId="0" applyNumberFormat="1" applyFont="1" applyFill="1" applyAlignment="1">
      <alignment horizontal="center" vertical="center"/>
    </xf>
    <xf numFmtId="0" fontId="10" fillId="0" borderId="0" xfId="0" applyFont="1"/>
    <xf numFmtId="0" fontId="11" fillId="0" borderId="0" xfId="0" applyFont="1"/>
    <xf numFmtId="166" fontId="0" fillId="0" borderId="0" xfId="0" applyNumberFormat="1"/>
    <xf numFmtId="166" fontId="6" fillId="0" borderId="0" xfId="0" applyNumberFormat="1" applyFont="1"/>
    <xf numFmtId="0" fontId="6" fillId="6" borderId="0" xfId="0" applyFont="1" applyFill="1"/>
    <xf numFmtId="166" fontId="6" fillId="6" borderId="0" xfId="0" applyNumberFormat="1" applyFont="1" applyFill="1"/>
    <xf numFmtId="0" fontId="6" fillId="6" borderId="0" xfId="0" applyFont="1" applyFill="1" applyAlignment="1">
      <alignment vertical="center"/>
    </xf>
    <xf numFmtId="166" fontId="6" fillId="6" borderId="0" xfId="0" applyNumberFormat="1" applyFont="1" applyFill="1" applyAlignment="1">
      <alignment vertical="center"/>
    </xf>
    <xf numFmtId="0" fontId="6" fillId="6" borderId="0" xfId="0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left" vertical="center" indent="1"/>
    </xf>
    <xf numFmtId="0" fontId="12" fillId="6" borderId="0" xfId="0" applyFont="1" applyFill="1" applyAlignment="1">
      <alignment horizontal="left" vertical="center" indent="1"/>
    </xf>
    <xf numFmtId="166" fontId="12" fillId="6" borderId="0" xfId="0" applyNumberFormat="1" applyFont="1" applyFill="1" applyAlignment="1">
      <alignment horizontal="left" vertical="center" indent="1"/>
    </xf>
    <xf numFmtId="0" fontId="4" fillId="6" borderId="0" xfId="0" applyFont="1" applyFill="1" applyAlignment="1">
      <alignment horizontal="left" vertical="center" indent="1"/>
    </xf>
    <xf numFmtId="166" fontId="4" fillId="6" borderId="0" xfId="0" applyNumberFormat="1" applyFont="1" applyFill="1" applyAlignment="1">
      <alignment horizontal="left" vertical="center" indent="1"/>
    </xf>
    <xf numFmtId="0" fontId="16" fillId="6" borderId="0" xfId="0" applyFont="1" applyFill="1" applyAlignment="1">
      <alignment horizontal="left" vertical="center" indent="1"/>
    </xf>
    <xf numFmtId="166" fontId="16" fillId="6" borderId="0" xfId="0" applyNumberFormat="1" applyFont="1" applyFill="1" applyAlignment="1">
      <alignment horizontal="left" vertical="center" indent="1"/>
    </xf>
    <xf numFmtId="0" fontId="16" fillId="7" borderId="0" xfId="0" applyFont="1" applyFill="1" applyAlignment="1">
      <alignment horizontal="left" vertical="center" indent="1"/>
    </xf>
    <xf numFmtId="166" fontId="16" fillId="7" borderId="0" xfId="0" applyNumberFormat="1" applyFont="1" applyFill="1" applyAlignment="1">
      <alignment horizontal="left" vertical="center" indent="1"/>
    </xf>
    <xf numFmtId="166" fontId="6" fillId="6" borderId="0" xfId="0" applyNumberFormat="1" applyFont="1" applyFill="1" applyAlignment="1">
      <alignment horizontal="right" vertical="center" indent="1"/>
    </xf>
    <xf numFmtId="166" fontId="16" fillId="7" borderId="0" xfId="0" applyNumberFormat="1" applyFont="1" applyFill="1" applyAlignment="1">
      <alignment horizontal="right" vertical="center" indent="1"/>
    </xf>
    <xf numFmtId="3" fontId="0" fillId="0" borderId="0" xfId="0" applyNumberFormat="1"/>
    <xf numFmtId="3" fontId="0" fillId="4" borderId="1" xfId="0" applyNumberFormat="1" applyFill="1" applyBorder="1" applyProtection="1">
      <protection locked="0" hidden="0"/>
    </xf>
    <xf numFmtId="3" fontId="6" fillId="0" borderId="0" xfId="0" applyNumberFormat="1" applyFont="1"/>
    <xf numFmtId="3" fontId="6" fillId="4" borderId="1" xfId="0" applyNumberFormat="1" applyFont="1" applyFill="1" applyBorder="1" applyProtection="1">
      <protection locked="0" hidden="0"/>
    </xf>
    <xf numFmtId="165" fontId="6" fillId="0" borderId="0" xfId="0" applyNumberFormat="1" applyFont="1"/>
    <xf numFmtId="166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4" borderId="1" xfId="0" applyNumberFormat="1" applyFont="1" applyFill="1" applyBorder="1" applyAlignment="1" applyProtection="1">
      <alignment vertical="center"/>
      <protection locked="0" hidden="0"/>
    </xf>
    <xf numFmtId="165" fontId="6" fillId="0" borderId="0" xfId="0" applyNumberFormat="1" applyFont="1" applyAlignment="1">
      <alignment vertical="center"/>
    </xf>
    <xf numFmtId="166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6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6" fillId="0" borderId="0" xfId="0" applyNumberFormat="1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3" fontId="13" fillId="0" borderId="0" xfId="0" applyNumberFormat="1" applyFont="1" applyAlignment="1">
      <alignment horizontal="center" vertical="center"/>
    </xf>
    <xf numFmtId="3" fontId="13" fillId="5" borderId="0" xfId="0" applyNumberFormat="1" applyFont="1" applyFill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vertical="top"/>
    </xf>
    <xf numFmtId="0" fontId="18" fillId="0" borderId="0" xfId="0" applyFont="1" applyAlignment="1">
      <alignment vertical="top" wrapText="1"/>
    </xf>
    <xf numFmtId="0" fontId="0" fillId="2" borderId="0" xfId="0" applyFill="1"/>
    <xf numFmtId="0" fontId="0" fillId="8" borderId="0" xfId="0" applyFill="1"/>
    <xf numFmtId="0" fontId="1" fillId="2" borderId="0" xfId="0" applyFont="1" applyFill="1"/>
    <xf numFmtId="0" fontId="19" fillId="2" borderId="0" xfId="0" applyFont="1" applyFill="1"/>
    <xf numFmtId="0" fontId="20" fillId="2" borderId="0" xfId="0" applyFont="1" applyFill="1"/>
    <xf numFmtId="0" fontId="20" fillId="2" borderId="0" xfId="0" applyFont="1" applyFill="1" applyAlignment="1">
      <alignment horizontal="left"/>
    </xf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left" vertical="center" indent="1"/>
    </xf>
    <xf numFmtId="0" fontId="17" fillId="2" borderId="0" xfId="0" applyFont="1" applyFill="1"/>
    <xf numFmtId="0" fontId="21" fillId="2" borderId="0" xfId="0" applyFont="1" applyFill="1"/>
    <xf numFmtId="0" fontId="21" fillId="2" borderId="0" xfId="0" applyFont="1" applyFill="1" applyAlignment="1">
      <alignment horizontal="left"/>
    </xf>
    <xf numFmtId="0" fontId="21" fillId="2" borderId="0" xfId="0" applyFont="1" applyFill="1" applyAlignment="1">
      <alignment horizontal="left" vertical="top"/>
    </xf>
    <xf numFmtId="0" fontId="21" fillId="2" borderId="0" xfId="0" applyFont="1" applyFill="1" applyAlignment="1">
      <alignment horizontal="left" vertical="top" wrapText="1"/>
    </xf>
    <xf numFmtId="0" fontId="21" fillId="2" borderId="0" xfId="0" applyFont="1" applyFill="1" applyAlignment="1">
      <alignment horizontal="left" vertical="top" wrapText="1" indent="1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horizontal="center"/>
    </xf>
    <xf numFmtId="1" fontId="0" fillId="0" borderId="0" xfId="0" applyNumberFormat="1"/>
    <xf numFmtId="165" fontId="0" fillId="4" borderId="0" xfId="0" applyNumberFormat="1" applyFill="1"/>
    <xf numFmtId="165" fontId="0" fillId="4" borderId="11" xfId="0" applyNumberFormat="1" applyFill="1" applyBorder="1"/>
    <xf numFmtId="0" fontId="0" fillId="4" borderId="12" xfId="0" applyFill="1" applyBorder="1"/>
    <xf numFmtId="165" fontId="0" fillId="4" borderId="11" xfId="0" applyNumberFormat="1" applyFill="1" applyBorder="1" applyProtection="1">
      <protection locked="0" hidden="0"/>
    </xf>
    <xf numFmtId="0" fontId="0" fillId="4" borderId="12" xfId="0" applyFill="1" applyBorder="1" applyProtection="1">
      <protection locked="0" hidden="0"/>
    </xf>
    <xf numFmtId="164" fontId="0" fillId="4" borderId="0" xfId="0" applyNumberFormat="1" applyFill="1"/>
    <xf numFmtId="164" fontId="0" fillId="4" borderId="11" xfId="0" applyNumberFormat="1" applyFill="1" applyBorder="1"/>
    <xf numFmtId="164" fontId="0" fillId="4" borderId="11" xfId="0" applyNumberFormat="1" applyFill="1" applyBorder="1" applyProtection="1">
      <protection locked="0" hidden="0"/>
    </xf>
    <xf numFmtId="0" fontId="26" fillId="0" borderId="0" xfId="0" applyFont="1"/>
    <xf numFmtId="0" fontId="26" fillId="2" borderId="0" xfId="0" applyFont="1" applyFill="1"/>
    <xf numFmtId="0" fontId="26" fillId="2" borderId="0" xfId="0" applyFont="1" applyFill="1" applyAlignment="1">
      <alignment vertical="top"/>
    </xf>
    <xf numFmtId="0" fontId="26" fillId="2" borderId="0" xfId="0" applyFont="1" applyFill="1" applyAlignment="1">
      <alignment vertical="top" wrapText="1"/>
    </xf>
    <xf numFmtId="0" fontId="26" fillId="2" borderId="0" xfId="0" applyFont="1" applyFill="1" applyAlignment="1">
      <alignment horizontal="left" vertical="top" wrapText="1" indent="1"/>
    </xf>
    <xf numFmtId="1" fontId="17" fillId="0" borderId="0" xfId="0" applyNumberFormat="1" applyFont="1"/>
    <xf numFmtId="165" fontId="17" fillId="4" borderId="11" xfId="0" applyNumberFormat="1" applyFont="1" applyFill="1" applyBorder="1" applyProtection="1">
      <protection locked="0" hidden="0"/>
    </xf>
    <xf numFmtId="0" fontId="17" fillId="4" borderId="12" xfId="0" applyFont="1" applyFill="1" applyBorder="1" applyProtection="1">
      <protection locked="0" hidden="0"/>
    </xf>
    <xf numFmtId="164" fontId="17" fillId="4" borderId="11" xfId="0" applyNumberFormat="1" applyFont="1" applyFill="1" applyBorder="1" applyProtection="1">
      <protection locked="0" hidden="0"/>
    </xf>
    <xf numFmtId="0" fontId="17" fillId="0" borderId="0" xfId="0" applyFont="1" applyAlignment="1">
      <alignment vertical="center"/>
    </xf>
    <xf numFmtId="1" fontId="17" fillId="0" borderId="0" xfId="0" applyNumberFormat="1" applyFont="1" applyAlignment="1">
      <alignment vertical="center"/>
    </xf>
    <xf numFmtId="165" fontId="17" fillId="4" borderId="11" xfId="0" applyNumberFormat="1" applyFont="1" applyFill="1" applyBorder="1" applyAlignment="1" applyProtection="1">
      <alignment vertical="center"/>
      <protection locked="0" hidden="0"/>
    </xf>
    <xf numFmtId="0" fontId="17" fillId="4" borderId="12" xfId="0" applyFont="1" applyFill="1" applyBorder="1" applyAlignment="1" applyProtection="1">
      <alignment vertical="center"/>
      <protection locked="0" hidden="0"/>
    </xf>
    <xf numFmtId="164" fontId="17" fillId="4" borderId="11" xfId="0" applyNumberFormat="1" applyFont="1" applyFill="1" applyBorder="1" applyAlignment="1" applyProtection="1">
      <alignment vertical="center"/>
      <protection locked="0" hidden="0"/>
    </xf>
    <xf numFmtId="166" fontId="17" fillId="0" borderId="0" xfId="0" applyNumberFormat="1" applyFont="1"/>
    <xf numFmtId="164" fontId="17" fillId="0" borderId="0" xfId="0" applyNumberFormat="1" applyFont="1"/>
    <xf numFmtId="0" fontId="17" fillId="6" borderId="0" xfId="0" applyFont="1" applyFill="1"/>
    <xf numFmtId="166" fontId="17" fillId="6" borderId="0" xfId="0" applyNumberFormat="1" applyFont="1" applyFill="1"/>
    <xf numFmtId="164" fontId="17" fillId="6" borderId="0" xfId="0" applyNumberFormat="1" applyFont="1" applyFill="1"/>
    <xf numFmtId="1" fontId="17" fillId="6" borderId="0" xfId="0" applyNumberFormat="1" applyFont="1" applyFill="1"/>
    <xf numFmtId="0" fontId="17" fillId="6" borderId="0" xfId="0" applyFont="1" applyFill="1" applyAlignment="1">
      <alignment vertical="center"/>
    </xf>
    <xf numFmtId="166" fontId="17" fillId="6" borderId="0" xfId="0" applyNumberFormat="1" applyFont="1" applyFill="1" applyAlignment="1">
      <alignment vertical="center"/>
    </xf>
    <xf numFmtId="164" fontId="17" fillId="6" borderId="0" xfId="0" applyNumberFormat="1" applyFont="1" applyFill="1" applyAlignment="1">
      <alignment vertical="center"/>
    </xf>
    <xf numFmtId="1" fontId="17" fillId="6" borderId="0" xfId="0" applyNumberFormat="1" applyFont="1" applyFill="1" applyAlignment="1">
      <alignment vertical="center"/>
    </xf>
    <xf numFmtId="0" fontId="17" fillId="6" borderId="0" xfId="0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left" vertical="center" indent="1"/>
    </xf>
    <xf numFmtId="164" fontId="17" fillId="6" borderId="0" xfId="0" applyNumberFormat="1" applyFont="1" applyFill="1" applyAlignment="1">
      <alignment horizontal="left" vertical="center" indent="1"/>
    </xf>
    <xf numFmtId="1" fontId="17" fillId="6" borderId="0" xfId="0" applyNumberFormat="1" applyFont="1" applyFill="1" applyAlignment="1">
      <alignment horizontal="left" vertical="center" indent="1"/>
    </xf>
    <xf numFmtId="166" fontId="17" fillId="6" borderId="0" xfId="0" applyNumberFormat="1" applyFont="1" applyFill="1" applyAlignment="1">
      <alignment horizontal="right" vertical="center" indent="1"/>
    </xf>
    <xf numFmtId="0" fontId="17" fillId="6" borderId="0" xfId="0" applyFont="1" applyFill="1" applyAlignment="1">
      <alignment horizontal="right" vertical="center" indent="1"/>
    </xf>
    <xf numFmtId="164" fontId="17" fillId="6" borderId="0" xfId="0" applyNumberFormat="1" applyFont="1" applyFill="1" applyAlignment="1">
      <alignment horizontal="right" vertical="center" indent="1"/>
    </xf>
    <xf numFmtId="1" fontId="1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left" vertical="center" indent="1"/>
    </xf>
    <xf numFmtId="166" fontId="27" fillId="6" borderId="0" xfId="0" applyNumberFormat="1" applyFont="1" applyFill="1" applyAlignment="1">
      <alignment horizontal="right" vertical="center" indent="1"/>
    </xf>
    <xf numFmtId="0" fontId="27" fillId="6" borderId="0" xfId="0" applyFont="1" applyFill="1" applyAlignment="1">
      <alignment horizontal="right" vertical="center" indent="1"/>
    </xf>
    <xf numFmtId="166" fontId="12" fillId="6" borderId="0" xfId="0" applyNumberFormat="1" applyFont="1" applyFill="1" applyAlignment="1">
      <alignment horizontal="right" vertical="center" indent="1"/>
    </xf>
    <xf numFmtId="0" fontId="12" fillId="6" borderId="0" xfId="0" applyFont="1" applyFill="1" applyAlignment="1">
      <alignment horizontal="right" vertical="center" indent="1"/>
    </xf>
    <xf numFmtId="0" fontId="13" fillId="6" borderId="0" xfId="0" applyFont="1" applyFill="1" applyAlignment="1">
      <alignment horizontal="left" vertical="center" indent="1"/>
    </xf>
    <xf numFmtId="166" fontId="13" fillId="6" borderId="0" xfId="0" applyNumberFormat="1" applyFont="1" applyFill="1" applyAlignment="1">
      <alignment horizontal="right" vertical="center" indent="1"/>
    </xf>
    <xf numFmtId="0" fontId="13" fillId="6" borderId="0" xfId="0" applyFont="1" applyFill="1" applyAlignment="1">
      <alignment horizontal="right" vertical="center" indent="1"/>
    </xf>
    <xf numFmtId="0" fontId="28" fillId="6" borderId="0" xfId="0" applyFont="1" applyFill="1" applyAlignment="1">
      <alignment horizontal="left" vertical="center" indent="1"/>
    </xf>
    <xf numFmtId="166" fontId="28" fillId="6" borderId="0" xfId="0" applyNumberFormat="1" applyFont="1" applyFill="1" applyAlignment="1">
      <alignment horizontal="right" vertical="center" indent="1"/>
    </xf>
    <xf numFmtId="0" fontId="28" fillId="6" borderId="0" xfId="0" applyFont="1" applyFill="1" applyAlignment="1">
      <alignment horizontal="right" vertical="center" indent="1"/>
    </xf>
    <xf numFmtId="0" fontId="29" fillId="6" borderId="0" xfId="0" applyFont="1" applyFill="1" applyAlignment="1">
      <alignment horizontal="left" vertical="center" indent="1"/>
    </xf>
    <xf numFmtId="166" fontId="29" fillId="6" borderId="0" xfId="0" applyNumberFormat="1" applyFont="1" applyFill="1" applyAlignment="1">
      <alignment horizontal="right" vertical="center" indent="1"/>
    </xf>
    <xf numFmtId="0" fontId="29" fillId="6" borderId="0" xfId="0" applyFont="1" applyFill="1" applyAlignment="1">
      <alignment horizontal="right" vertical="center" indent="1"/>
    </xf>
    <xf numFmtId="0" fontId="17" fillId="5" borderId="0" xfId="0" applyFont="1" applyFill="1" applyAlignment="1">
      <alignment horizontal="left" vertical="center" indent="1"/>
    </xf>
    <xf numFmtId="1" fontId="17" fillId="5" borderId="0" xfId="0" applyNumberFormat="1" applyFont="1" applyFill="1" applyAlignment="1">
      <alignment horizontal="right" vertical="center" indent="1"/>
    </xf>
    <xf numFmtId="0" fontId="17" fillId="5" borderId="0" xfId="0" applyFont="1" applyFill="1" applyAlignment="1">
      <alignment horizontal="right" vertical="center" indent="1"/>
    </xf>
    <xf numFmtId="166" fontId="1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left" vertical="center" indent="1"/>
    </xf>
    <xf numFmtId="166" fontId="27" fillId="5" borderId="0" xfId="0" applyNumberFormat="1" applyFont="1" applyFill="1" applyAlignment="1">
      <alignment horizontal="right" vertical="center" indent="1"/>
    </xf>
    <xf numFmtId="0" fontId="27" fillId="5" borderId="0" xfId="0" applyFont="1" applyFill="1" applyAlignment="1">
      <alignment horizontal="right" vertical="center" indent="1"/>
    </xf>
    <xf numFmtId="0" fontId="12" fillId="5" borderId="0" xfId="0" applyFont="1" applyFill="1" applyAlignment="1">
      <alignment horizontal="left" vertical="center" indent="1"/>
    </xf>
    <xf numFmtId="166" fontId="12" fillId="5" borderId="0" xfId="0" applyNumberFormat="1" applyFont="1" applyFill="1" applyAlignment="1">
      <alignment horizontal="right" vertical="center" indent="1"/>
    </xf>
    <xf numFmtId="0" fontId="12" fillId="5" borderId="0" xfId="0" applyFont="1" applyFill="1" applyAlignment="1">
      <alignment horizontal="right" vertical="center" indent="1"/>
    </xf>
    <xf numFmtId="0" fontId="13" fillId="5" borderId="0" xfId="0" applyFont="1" applyFill="1" applyAlignment="1">
      <alignment horizontal="left" vertical="center" indent="1"/>
    </xf>
    <xf numFmtId="166" fontId="13" fillId="5" borderId="0" xfId="0" applyNumberFormat="1" applyFont="1" applyFill="1" applyAlignment="1">
      <alignment horizontal="right" vertical="center" indent="1"/>
    </xf>
    <xf numFmtId="0" fontId="13" fillId="5" borderId="0" xfId="0" applyFont="1" applyFill="1" applyAlignment="1">
      <alignment horizontal="right" vertical="center" indent="1"/>
    </xf>
    <xf numFmtId="0" fontId="17" fillId="5" borderId="6" xfId="0" applyFont="1" applyFill="1" applyBorder="1" applyAlignment="1">
      <alignment horizontal="left" vertical="center" indent="1"/>
    </xf>
    <xf numFmtId="1" fontId="17" fillId="5" borderId="6" xfId="0" applyNumberFormat="1" applyFont="1" applyFill="1" applyBorder="1" applyAlignment="1">
      <alignment horizontal="right" vertical="center" indent="1"/>
    </xf>
    <xf numFmtId="0" fontId="17" fillId="5" borderId="6" xfId="0" applyFont="1" applyFill="1" applyBorder="1" applyAlignment="1">
      <alignment horizontal="right" vertical="center" indent="1"/>
    </xf>
    <xf numFmtId="0" fontId="9" fillId="7" borderId="0" xfId="0" applyFont="1" applyFill="1"/>
    <xf numFmtId="0" fontId="9" fillId="7" borderId="0" xfId="0" applyFont="1" applyFill="1" applyAlignment="1">
      <alignment horizontal="center"/>
    </xf>
    <xf numFmtId="166" fontId="1" fillId="0" borderId="0" xfId="0" applyNumberFormat="1" applyFont="1"/>
    <xf numFmtId="166" fontId="30" fillId="0" borderId="0" xfId="0" applyNumberFormat="1" applyFont="1"/>
    <xf numFmtId="0" fontId="30" fillId="0" borderId="0" xfId="0" applyFont="1"/>
    <xf numFmtId="166" fontId="31" fillId="0" borderId="0" xfId="0" applyNumberFormat="1" applyFont="1"/>
    <xf numFmtId="0" fontId="31" fillId="0" borderId="0" xfId="0" applyFont="1"/>
    <xf numFmtId="166" fontId="31" fillId="7" borderId="0" xfId="0" applyNumberFormat="1" applyFont="1" applyFill="1"/>
    <xf numFmtId="0" fontId="31" fillId="7" borderId="0" xfId="0" applyFont="1" applyFill="1"/>
    <xf numFmtId="166" fontId="31" fillId="7" borderId="0" xfId="0" applyNumberFormat="1" applyFont="1" applyFill="1" applyAlignment="1">
      <alignment horizontal="center"/>
    </xf>
    <xf numFmtId="0" fontId="31" fillId="7" borderId="0" xfId="0" applyFont="1" applyFill="1" applyAlignment="1">
      <alignment horizontal="center"/>
    </xf>
    <xf numFmtId="166" fontId="31" fillId="7" borderId="0" xfId="0" applyNumberFormat="1" applyFont="1" applyFill="1" applyAlignment="1">
      <alignment horizontal="center" vertical="center"/>
    </xf>
    <xf numFmtId="0" fontId="31" fillId="7" borderId="0" xfId="0" applyFont="1" applyFill="1" applyAlignment="1">
      <alignment horizontal="center" vertical="center"/>
    </xf>
    <xf numFmtId="0" fontId="32" fillId="0" borderId="0" xfId="0" applyFont="1"/>
    <xf numFmtId="0" fontId="32" fillId="5" borderId="0" xfId="0" applyFont="1" applyFill="1"/>
    <xf numFmtId="0" fontId="32" fillId="5" borderId="0" xfId="0" applyFont="1" applyFill="1" applyAlignment="1">
      <alignment horizontal="center"/>
    </xf>
    <xf numFmtId="166" fontId="33" fillId="0" borderId="0" xfId="0" applyNumberFormat="1" applyFont="1"/>
    <xf numFmtId="0" fontId="33" fillId="0" borderId="0" xfId="0" applyFont="1"/>
    <xf numFmtId="166" fontId="33" fillId="5" borderId="0" xfId="0" applyNumberFormat="1" applyFont="1" applyFill="1"/>
    <xf numFmtId="0" fontId="33" fillId="5" borderId="0" xfId="0" applyFont="1" applyFill="1"/>
    <xf numFmtId="166" fontId="33" fillId="5" borderId="0" xfId="0" applyNumberFormat="1" applyFont="1" applyFill="1" applyAlignment="1">
      <alignment horizontal="center"/>
    </xf>
    <xf numFmtId="0" fontId="33" fillId="5" borderId="0" xfId="0" applyFont="1" applyFill="1" applyAlignment="1">
      <alignment horizontal="center"/>
    </xf>
    <xf numFmtId="166" fontId="33" fillId="5" borderId="0" xfId="0" applyNumberFormat="1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4" fillId="0" borderId="0" xfId="0" applyFont="1"/>
    <xf numFmtId="0" fontId="35" fillId="0" borderId="0" xfId="0" applyFont="1"/>
    <xf numFmtId="0" fontId="36" fillId="0" borderId="0" xfId="0" applyFont="1"/>
    <xf numFmtId="0" fontId="36" fillId="0" borderId="0" xfId="0" applyFont="1" applyAlignment="1">
      <alignment vertical="center"/>
    </xf>
    <xf numFmtId="0" fontId="36" fillId="0" borderId="0" xfId="0" applyFont="1" applyAlignment="1">
      <alignment vertical="center" wrapText="1"/>
    </xf>
    <xf numFmtId="0" fontId="37" fillId="0" borderId="0" xfId="0" applyFont="1"/>
    <xf numFmtId="0" fontId="37" fillId="6" borderId="0" xfId="0" applyFont="1" applyFill="1"/>
    <xf numFmtId="0" fontId="37" fillId="6" borderId="0" xfId="0" applyFont="1" applyFill="1" applyAlignment="1">
      <alignment horizontal="center"/>
    </xf>
    <xf numFmtId="0" fontId="37" fillId="6" borderId="0" xfId="0" applyFont="1" applyFill="1" applyAlignment="1">
      <alignment horizontal="center" vertical="center"/>
    </xf>
    <xf numFmtId="0" fontId="38" fillId="0" borderId="0" xfId="0" applyFont="1"/>
    <xf numFmtId="0" fontId="38" fillId="6" borderId="0" xfId="0" applyFont="1" applyFill="1"/>
    <xf numFmtId="0" fontId="38" fillId="6" borderId="0" xfId="0" applyFont="1" applyFill="1" applyAlignment="1">
      <alignment horizontal="center"/>
    </xf>
    <xf numFmtId="0" fontId="38" fillId="6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7" fillId="0" borderId="4" xfId="0" applyFont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0" fontId="12" fillId="0" borderId="4" xfId="0" applyFont="1" applyBorder="1"/>
    <xf numFmtId="0" fontId="17" fillId="4" borderId="2" xfId="0" applyFont="1" applyFill="1" applyBorder="1" applyAlignment="1">
      <alignment horizontal="center" vertical="center"/>
    </xf>
    <xf numFmtId="0" fontId="17" fillId="4" borderId="4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17" fillId="4" borderId="1" xfId="0" applyFont="1" applyFill="1" applyBorder="1" applyAlignment="1" applyProtection="1">
      <alignment horizontal="center" vertical="center"/>
      <protection locked="0" hidden="0"/>
    </xf>
    <xf numFmtId="167" fontId="17" fillId="0" borderId="2" xfId="0" applyNumberFormat="1" applyFont="1" applyBorder="1" applyAlignment="1">
      <alignment horizontal="center" vertical="center"/>
    </xf>
    <xf numFmtId="167" fontId="17" fillId="0" borderId="4" xfId="0" applyNumberFormat="1" applyFont="1" applyBorder="1" applyAlignment="1">
      <alignment horizontal="center" vertical="center"/>
    </xf>
    <xf numFmtId="167" fontId="17" fillId="0" borderId="6" xfId="0" applyNumberFormat="1" applyFont="1" applyBorder="1" applyAlignment="1">
      <alignment horizontal="center" vertical="center"/>
    </xf>
    <xf numFmtId="2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5" fontId="17" fillId="4" borderId="1" xfId="0" applyNumberFormat="1" applyFont="1" applyFill="1" applyBorder="1" applyAlignment="1" applyProtection="1">
      <alignment horizontal="center" vertical="center"/>
      <protection locked="0" hidden="0"/>
    </xf>
    <xf numFmtId="168" fontId="17" fillId="0" borderId="2" xfId="0" applyNumberFormat="1" applyFont="1" applyBorder="1" applyAlignment="1">
      <alignment horizontal="center" vertical="center"/>
    </xf>
    <xf numFmtId="168" fontId="17" fillId="0" borderId="4" xfId="0" applyNumberFormat="1" applyFont="1" applyBorder="1" applyAlignment="1">
      <alignment horizontal="center" vertical="center"/>
    </xf>
    <xf numFmtId="168" fontId="17" fillId="0" borderId="6" xfId="0" applyNumberFormat="1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/>
    </xf>
    <xf numFmtId="165" fontId="17" fillId="0" borderId="4" xfId="0" applyNumberFormat="1" applyFont="1" applyBorder="1" applyAlignment="1">
      <alignment horizontal="center" vertical="center"/>
    </xf>
    <xf numFmtId="165" fontId="17" fillId="0" borderId="6" xfId="0" applyNumberFormat="1" applyFont="1" applyBorder="1" applyAlignment="1">
      <alignment horizontal="center" vertical="center"/>
    </xf>
    <xf numFmtId="165" fontId="12" fillId="0" borderId="4" xfId="0" applyNumberFormat="1" applyFont="1" applyBorder="1"/>
    <xf numFmtId="9" fontId="17" fillId="0" borderId="2" xfId="0" applyNumberFormat="1" applyFont="1" applyBorder="1" applyAlignment="1">
      <alignment horizontal="center" vertical="center"/>
    </xf>
    <xf numFmtId="9" fontId="17" fillId="0" borderId="4" xfId="0" applyNumberFormat="1" applyFont="1" applyBorder="1" applyAlignment="1">
      <alignment horizontal="center" vertical="center"/>
    </xf>
    <xf numFmtId="9" fontId="17" fillId="0" borderId="6" xfId="0" applyNumberFormat="1" applyFont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40" fillId="0" borderId="0" xfId="0" applyFont="1" applyAlignment="1">
      <alignment horizontal="right"/>
    </xf>
    <xf numFmtId="0" fontId="40" fillId="0" borderId="0" xfId="0" applyFont="1" applyAlignment="1">
      <alignment horizontal="right" vertical="center"/>
    </xf>
    <xf numFmtId="0" fontId="41" fillId="0" borderId="0" xfId="0" applyFont="1"/>
    <xf numFmtId="0" fontId="41" fillId="0" borderId="0" xfId="0" applyFont="1" applyAlignment="1">
      <alignment horizontal="right"/>
    </xf>
    <xf numFmtId="0" fontId="0" fillId="7" borderId="0" xfId="0" applyFill="1"/>
    <xf numFmtId="0" fontId="0" fillId="3" borderId="0" xfId="0" applyFill="1"/>
    <xf numFmtId="0" fontId="11" fillId="6" borderId="0" xfId="0" applyFont="1" applyFill="1"/>
    <xf numFmtId="0" fontId="11" fillId="6" borderId="0" xfId="0" applyFont="1" applyFill="1" applyAlignment="1">
      <alignment horizontal="right"/>
    </xf>
    <xf numFmtId="0" fontId="11" fillId="6" borderId="0" xfId="0" applyFont="1" applyFill="1" applyAlignment="1">
      <alignment horizontal="right" vertical="center"/>
    </xf>
    <xf numFmtId="0" fontId="27" fillId="0" borderId="0" xfId="0" applyFont="1"/>
    <xf numFmtId="0" fontId="27" fillId="6" borderId="0" xfId="0" applyFont="1" applyFill="1"/>
    <xf numFmtId="0" fontId="27" fillId="6" borderId="0" xfId="0" applyFont="1" applyFill="1" applyAlignment="1">
      <alignment horizontal="left"/>
    </xf>
    <xf numFmtId="0" fontId="27" fillId="6" borderId="0" xfId="0" applyFont="1" applyFill="1" applyAlignment="1">
      <alignment horizontal="left" vertical="center"/>
    </xf>
    <xf numFmtId="0" fontId="27" fillId="6" borderId="0" xfId="0" applyFont="1" applyFill="1" applyAlignment="1">
      <alignment horizontal="left" vertical="center" wrapText="1"/>
    </xf>
    <xf numFmtId="0" fontId="27" fillId="6" borderId="0" xfId="0" applyFont="1" applyFill="1" applyAlignment="1">
      <alignment horizontal="left" vertical="center" wrapText="1" indent="1"/>
    </xf>
    <xf numFmtId="0" fontId="42" fillId="0" borderId="0" xfId="0" applyFont="1"/>
    <xf numFmtId="0" fontId="43" fillId="0" borderId="0" xfId="0" applyFont="1"/>
    <xf numFmtId="0" fontId="43" fillId="6" borderId="0" xfId="0" applyFont="1" applyFill="1"/>
    <xf numFmtId="0" fontId="43" fillId="6" borderId="0" xfId="0" applyFont="1" applyFill="1" applyAlignment="1">
      <alignment horizontal="left"/>
    </xf>
    <xf numFmtId="0" fontId="43" fillId="6" borderId="0" xfId="0" applyFont="1" applyFill="1" applyAlignment="1">
      <alignment horizontal="left" vertical="center"/>
    </xf>
    <xf numFmtId="0" fontId="43" fillId="6" borderId="0" xfId="0" applyFont="1" applyFill="1" applyAlignment="1">
      <alignment horizontal="left" vertical="center" indent="1"/>
    </xf>
    <xf numFmtId="0" fontId="0" fillId="6" borderId="0" xfId="0" applyFill="1"/>
    <xf numFmtId="1" fontId="27" fillId="6" borderId="0" xfId="0" applyNumberFormat="1" applyFont="1" applyFill="1" applyAlignment="1">
      <alignment horizontal="left" vertical="center" wrapText="1" indent="1"/>
    </xf>
    <xf numFmtId="0" fontId="44" fillId="0" borderId="0" xfId="0" applyFont="1"/>
    <xf numFmtId="0" fontId="45" fillId="0" borderId="0" xfId="0" applyFont="1"/>
    <xf numFmtId="0" fontId="45" fillId="3" borderId="0" xfId="0" applyFont="1" applyFill="1"/>
    <xf numFmtId="0" fontId="45" fillId="3" borderId="0" xfId="0" applyFont="1" applyFill="1" applyAlignment="1">
      <alignment horizontal="center"/>
    </xf>
    <xf numFmtId="0" fontId="45" fillId="3" borderId="0" xfId="0" applyFont="1" applyFill="1" applyAlignment="1">
      <alignment horizontal="center" vertical="center"/>
    </xf>
    <xf numFmtId="0" fontId="45" fillId="3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0" fontId="27" fillId="5" borderId="0" xfId="0" applyFont="1" applyFill="1"/>
    <xf numFmtId="0" fontId="27" fillId="5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6" fillId="5" borderId="0" xfId="0" applyFont="1" applyFill="1" applyAlignment="1">
      <alignment vertical="center"/>
    </xf>
    <xf numFmtId="0" fontId="12" fillId="5" borderId="0" xfId="0" applyFont="1" applyFill="1" applyAlignment="1">
      <alignment vertical="center"/>
    </xf>
    <xf numFmtId="0" fontId="27" fillId="5" borderId="6" xfId="0" applyFont="1" applyFill="1" applyBorder="1" applyAlignment="1">
      <alignment vertical="center"/>
    </xf>
    <xf numFmtId="166" fontId="27" fillId="5" borderId="0" xfId="0" applyNumberFormat="1" applyFont="1" applyFill="1" applyAlignment="1">
      <alignment vertical="center"/>
    </xf>
    <xf numFmtId="166" fontId="46" fillId="5" borderId="0" xfId="0" applyNumberFormat="1" applyFont="1" applyFill="1" applyAlignment="1">
      <alignment vertical="center"/>
    </xf>
    <xf numFmtId="166" fontId="27" fillId="5" borderId="6" xfId="0" applyNumberFormat="1" applyFont="1" applyFill="1" applyBorder="1" applyAlignment="1">
      <alignment vertical="center"/>
    </xf>
    <xf numFmtId="166" fontId="13" fillId="5" borderId="0" xfId="0" applyNumberFormat="1" applyFont="1" applyFill="1" applyAlignment="1">
      <alignment vertical="center"/>
    </xf>
    <xf numFmtId="0" fontId="0" fillId="0" borderId="0" xfId="0" applyAlignment="1">
      <alignment wrapTex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  <xf numFmtId="0" fontId="25" fillId="0" borderId="0" xfId="0" applyFont="1" applyAlignment="1">
      <alignment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47" fillId="0" borderId="0" xfId="0" applyFont="1"/>
    <xf numFmtId="0" fontId="47" fillId="0" borderId="0" xfId="0" applyFont="1" applyAlignment="1">
      <alignment horizontal="center"/>
    </xf>
    <xf numFmtId="0" fontId="4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17" fillId="0" borderId="0" xfId="0" applyFont="1" applyAlignment="1">
      <alignment vertical="top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0" fontId="10" fillId="6" borderId="0" xfId="0" applyFont="1" applyFill="1" applyAlignment="1">
      <alignment vertical="top" wrapText="1"/>
    </xf>
    <xf numFmtId="0" fontId="8" fillId="6" borderId="0" xfId="0" applyFont="1" applyFill="1" applyAlignment="1">
      <alignment vertical="top" wrapText="1"/>
    </xf>
    <xf numFmtId="0" fontId="48" fillId="6" borderId="0" xfId="0" applyFont="1" applyFill="1" applyAlignment="1">
      <alignment vertical="top" wrapText="1"/>
    </xf>
    <xf numFmtId="0" fontId="11" fillId="0" borderId="0" xfId="0" applyFont="1" applyAlignment="1">
      <alignment horizontal="right"/>
    </xf>
    <xf numFmtId="0" fontId="49" fillId="0" borderId="0" xfId="0" applyFont="1"/>
    <xf numFmtId="3" fontId="17" fillId="0" borderId="2" xfId="0" applyNumberFormat="1" applyFont="1" applyBorder="1" applyAlignment="1">
      <alignment horizontal="center" vertical="center"/>
    </xf>
    <xf numFmtId="3" fontId="17" fillId="0" borderId="4" xfId="0" applyNumberFormat="1" applyFont="1" applyBorder="1" applyAlignment="1">
      <alignment horizontal="center" vertical="center"/>
    </xf>
    <xf numFmtId="9" fontId="0" fillId="0" borderId="0" xfId="0" applyNumberFormat="1"/>
    <xf numFmtId="9" fontId="17" fillId="0" borderId="0" xfId="0" applyNumberFormat="1" applyFont="1"/>
    <xf numFmtId="9" fontId="17" fillId="6" borderId="0" xfId="0" applyNumberFormat="1" applyFont="1" applyFill="1"/>
    <xf numFmtId="9" fontId="17" fillId="6" borderId="0" xfId="0" applyNumberFormat="1" applyFont="1" applyFill="1" applyAlignment="1">
      <alignment vertical="center"/>
    </xf>
    <xf numFmtId="9" fontId="17" fillId="6" borderId="0" xfId="0" applyNumberFormat="1" applyFont="1" applyFill="1" applyAlignment="1">
      <alignment horizontal="left" vertical="center" indent="1"/>
    </xf>
    <xf numFmtId="9" fontId="17" fillId="6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left" vertical="center" indent="1"/>
    </xf>
    <xf numFmtId="166" fontId="1" fillId="5" borderId="0" xfId="0" applyNumberFormat="1" applyFont="1" applyFill="1" applyAlignment="1">
      <alignment horizontal="right" vertical="center" indent="1"/>
    </xf>
    <xf numFmtId="0" fontId="1" fillId="5" borderId="0" xfId="0" applyFont="1" applyFill="1" applyAlignment="1">
      <alignment horizontal="right" vertical="center" indent="1"/>
    </xf>
    <xf numFmtId="0" fontId="50" fillId="5" borderId="0" xfId="0" applyFont="1" applyFill="1" applyAlignment="1">
      <alignment horizontal="left" vertical="center" indent="1"/>
    </xf>
    <xf numFmtId="166" fontId="50" fillId="5" borderId="0" xfId="0" applyNumberFormat="1" applyFont="1" applyFill="1" applyAlignment="1">
      <alignment horizontal="right" vertical="center" indent="1"/>
    </xf>
    <xf numFmtId="0" fontId="50" fillId="5" borderId="0" xfId="0" applyFont="1" applyFill="1" applyAlignment="1">
      <alignment horizontal="right" vertical="center" indent="1"/>
    </xf>
    <xf numFmtId="166" fontId="4" fillId="6" borderId="0" xfId="0" applyNumberFormat="1" applyFont="1" applyFill="1" applyAlignment="1">
      <alignment horizontal="right" vertical="center" indent="1"/>
    </xf>
    <xf numFmtId="0" fontId="4" fillId="6" borderId="0" xfId="0" applyFont="1" applyFill="1" applyAlignment="1">
      <alignment horizontal="right" vertical="center" indent="1"/>
    </xf>
    <xf numFmtId="166" fontId="16" fillId="6" borderId="0" xfId="0" applyNumberFormat="1" applyFont="1" applyFill="1" applyAlignment="1">
      <alignment horizontal="right" vertical="center" indent="1"/>
    </xf>
    <xf numFmtId="0" fontId="16" fillId="6" borderId="0" xfId="0" applyFont="1" applyFill="1" applyAlignment="1">
      <alignment horizontal="right" vertical="center" indent="1"/>
    </xf>
    <xf numFmtId="0" fontId="16" fillId="7" borderId="0" xfId="0" applyFont="1" applyFill="1" applyAlignment="1">
      <alignment horizontal="right" vertical="center" indent="1"/>
    </xf>
    <xf numFmtId="169" fontId="0" fillId="0" borderId="0" xfId="0" applyNumberFormat="1"/>
    <xf numFmtId="165" fontId="17" fillId="0" borderId="0" xfId="0" applyNumberFormat="1" applyFont="1"/>
    <xf numFmtId="169" fontId="17" fillId="0" borderId="0" xfId="0" applyNumberFormat="1" applyFont="1"/>
    <xf numFmtId="165" fontId="17" fillId="5" borderId="0" xfId="0" applyNumberFormat="1" applyFont="1" applyFill="1"/>
    <xf numFmtId="169" fontId="17" fillId="5" borderId="0" xfId="0" applyNumberFormat="1" applyFont="1" applyFill="1"/>
    <xf numFmtId="0" fontId="17" fillId="5" borderId="0" xfId="0" applyFont="1" applyFill="1"/>
    <xf numFmtId="165" fontId="17" fillId="5" borderId="0" xfId="0" applyNumberFormat="1" applyFont="1" applyFill="1" applyAlignment="1">
      <alignment vertical="center"/>
    </xf>
    <xf numFmtId="169" fontId="17" fillId="5" borderId="0" xfId="0" applyNumberFormat="1" applyFont="1" applyFill="1" applyAlignment="1">
      <alignment vertical="center"/>
    </xf>
    <xf numFmtId="0" fontId="17" fillId="5" borderId="0" xfId="0" applyFont="1" applyFill="1" applyAlignment="1">
      <alignment vertical="center"/>
    </xf>
    <xf numFmtId="165" fontId="17" fillId="5" borderId="0" xfId="0" applyNumberFormat="1" applyFont="1" applyFill="1" applyAlignment="1">
      <alignment horizontal="left" vertical="center" indent="1"/>
    </xf>
    <xf numFmtId="169" fontId="17" fillId="5" borderId="0" xfId="0" applyNumberFormat="1" applyFont="1" applyFill="1" applyAlignment="1">
      <alignment horizontal="left" vertical="center" indent="1"/>
    </xf>
    <xf numFmtId="165" fontId="27" fillId="5" borderId="0" xfId="0" applyNumberFormat="1" applyFont="1" applyFill="1" applyAlignment="1">
      <alignment horizontal="left" vertical="center" indent="1"/>
    </xf>
    <xf numFmtId="165" fontId="28" fillId="5" borderId="0" xfId="0" applyNumberFormat="1" applyFont="1" applyFill="1" applyAlignment="1">
      <alignment horizontal="left" vertical="center" indent="1"/>
    </xf>
    <xf numFmtId="0" fontId="25" fillId="0" borderId="0" xfId="0" applyFont="1" applyAlignment="1">
      <alignment vertical="top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 indent="1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27" fillId="4" borderId="0" xfId="0" applyFont="1" applyFill="1" applyAlignment="1">
      <alignment horizontal="left" vertical="center" wrapText="1" indent="1"/>
    </xf>
    <xf numFmtId="1" fontId="27" fillId="4" borderId="0" xfId="0" applyNumberFormat="1" applyFont="1" applyFill="1" applyAlignment="1">
      <alignment horizontal="left" vertical="center" wrapText="1" indent="1"/>
    </xf>
    <xf numFmtId="0" fontId="17" fillId="4" borderId="2" xfId="0" applyFont="1" applyFill="1" applyBorder="1" applyAlignment="1">
      <alignment vertical="center"/>
    </xf>
    <xf numFmtId="0" fontId="17" fillId="4" borderId="4" xfId="0" applyFont="1" applyFill="1" applyBorder="1" applyAlignment="1">
      <alignment vertical="center"/>
    </xf>
    <xf numFmtId="0" fontId="0" fillId="0" borderId="0" xfId="0" applyProtection="1">
      <protection locked="0" hidden="0"/>
    </xf>
    <xf numFmtId="0" fontId="40" fillId="0" borderId="0" xfId="0" applyFont="1" applyAlignment="1" applyProtection="1">
      <alignment horizontal="right" vertical="center"/>
      <protection locked="0" hidden="0"/>
    </xf>
    <xf numFmtId="0" fontId="41" fillId="0" borderId="0" xfId="0" applyFont="1" applyAlignment="1" applyProtection="1">
      <alignment horizontal="right"/>
      <protection locked="0" hidden="0"/>
    </xf>
    <xf numFmtId="0" fontId="0" fillId="7" borderId="0" xfId="0" applyFill="1" applyProtection="1">
      <protection locked="0" hidden="0"/>
    </xf>
    <xf numFmtId="0" fontId="0" fillId="3" borderId="0" xfId="0" applyFill="1" applyProtection="1">
      <protection locked="0" hidden="0"/>
    </xf>
    <xf numFmtId="0" fontId="11" fillId="6" borderId="0" xfId="0" applyFont="1" applyFill="1" applyAlignment="1" applyProtection="1">
      <alignment horizontal="right" vertical="center"/>
      <protection locked="0" hidden="0"/>
    </xf>
    <xf numFmtId="0" fontId="43" fillId="6" borderId="0" xfId="0" applyFont="1" applyFill="1" applyAlignment="1" applyProtection="1">
      <alignment horizontal="left" vertical="center" indent="1"/>
      <protection locked="0" hidden="0"/>
    </xf>
    <xf numFmtId="0" fontId="27" fillId="4" borderId="0" xfId="0" applyFont="1" applyFill="1" applyAlignment="1" applyProtection="1">
      <alignment horizontal="left" vertical="center" wrapText="1" indent="1"/>
      <protection locked="0" hidden="0"/>
    </xf>
    <xf numFmtId="0" fontId="0" fillId="6" borderId="0" xfId="0" applyFill="1" applyProtection="1">
      <protection locked="0" hidden="0"/>
    </xf>
    <xf numFmtId="1" fontId="27" fillId="4" borderId="0" xfId="0" applyNumberFormat="1" applyFont="1" applyFill="1" applyAlignment="1" applyProtection="1">
      <alignment horizontal="left" vertical="center" wrapText="1" indent="1"/>
      <protection locked="0" hidden="0"/>
    </xf>
    <xf numFmtId="0" fontId="27" fillId="6" borderId="0" xfId="0" applyFont="1" applyFill="1" applyAlignment="1" applyProtection="1">
      <alignment horizontal="left" vertical="center" wrapText="1" indent="1"/>
      <protection locked="0" hidden="0"/>
    </xf>
    <xf numFmtId="0" fontId="0" fillId="8" borderId="0" xfId="0" applyFill="1" applyProtection="1">
      <protection locked="0" hidden="0"/>
    </xf>
    <xf numFmtId="0" fontId="0" fillId="2" borderId="0" xfId="0" applyFill="1" applyProtection="1">
      <protection locked="0" hidden="0"/>
    </xf>
    <xf numFmtId="0" fontId="20" fillId="2" borderId="0" xfId="0" applyFont="1" applyFill="1" applyAlignment="1" applyProtection="1">
      <alignment horizontal="left" vertical="center" indent="1"/>
      <protection locked="0" hidden="0"/>
    </xf>
    <xf numFmtId="0" fontId="21" fillId="2" borderId="0" xfId="0" applyFont="1" applyFill="1" applyAlignment="1" applyProtection="1">
      <alignment horizontal="left" vertical="top" wrapText="1" indent="1"/>
      <protection locked="0" hidden="0"/>
    </xf>
    <xf numFmtId="0" fontId="45" fillId="3" borderId="0" xfId="0" applyFont="1" applyFill="1" applyAlignment="1" applyProtection="1">
      <alignment horizontal="center" vertical="center" wrapText="1"/>
      <protection locked="0" hidden="0"/>
    </xf>
    <xf numFmtId="0" fontId="11" fillId="0" borderId="2" xfId="0" applyFont="1" applyBorder="1" applyAlignment="1" applyProtection="1">
      <alignment horizontal="center" vertical="center"/>
      <protection locked="0" hidden="0"/>
    </xf>
    <xf numFmtId="0" fontId="17" fillId="4" borderId="2" xfId="0" applyFont="1" applyFill="1" applyBorder="1" applyAlignment="1" applyProtection="1">
      <alignment vertical="center"/>
      <protection locked="0" hidden="0"/>
    </xf>
    <xf numFmtId="0" fontId="17" fillId="4" borderId="2" xfId="0" applyFont="1" applyFill="1" applyBorder="1" applyAlignment="1" applyProtection="1">
      <alignment horizontal="center" vertical="center"/>
      <protection locked="0" hidden="0"/>
    </xf>
    <xf numFmtId="0" fontId="17" fillId="0" borderId="2" xfId="0" applyFont="1" applyBorder="1" applyAlignment="1" applyProtection="1">
      <alignment horizontal="center" vertical="center"/>
      <protection locked="0" hidden="0"/>
    </xf>
    <xf numFmtId="165" fontId="17" fillId="0" borderId="2" xfId="0" applyNumberFormat="1" applyFont="1" applyBorder="1" applyAlignment="1" applyProtection="1">
      <alignment vertical="center"/>
      <protection locked="0" hidden="0"/>
    </xf>
    <xf numFmtId="0" fontId="11" fillId="0" borderId="4" xfId="0" applyFont="1" applyBorder="1" applyAlignment="1" applyProtection="1">
      <alignment horizontal="center" vertical="center"/>
      <protection locked="0" hidden="0"/>
    </xf>
    <xf numFmtId="0" fontId="17" fillId="4" borderId="4" xfId="0" applyFont="1" applyFill="1" applyBorder="1" applyAlignment="1" applyProtection="1">
      <alignment vertical="center"/>
      <protection locked="0" hidden="0"/>
    </xf>
    <xf numFmtId="0" fontId="17" fillId="4" borderId="4" xfId="0" applyFont="1" applyFill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horizontal="center" vertical="center"/>
      <protection locked="0" hidden="0"/>
    </xf>
    <xf numFmtId="165" fontId="17" fillId="0" borderId="4" xfId="0" applyNumberFormat="1" applyFont="1" applyBorder="1" applyAlignment="1" applyProtection="1">
      <alignment vertical="center"/>
      <protection locked="0" hidden="0"/>
    </xf>
    <xf numFmtId="0" fontId="27" fillId="5" borderId="0" xfId="0" applyFont="1" applyFill="1" applyAlignment="1" applyProtection="1">
      <alignment vertical="center"/>
      <protection locked="0" hidden="0"/>
    </xf>
    <xf numFmtId="166" fontId="27" fillId="5" borderId="0" xfId="0" applyNumberFormat="1" applyFont="1" applyFill="1" applyAlignment="1" applyProtection="1">
      <alignment vertical="center"/>
      <protection locked="0" hidden="0"/>
    </xf>
    <xf numFmtId="0" fontId="46" fillId="5" borderId="0" xfId="0" applyFont="1" applyFill="1" applyAlignment="1" applyProtection="1">
      <alignment vertical="center"/>
      <protection locked="0" hidden="0"/>
    </xf>
    <xf numFmtId="166" fontId="46" fillId="5" borderId="0" xfId="0" applyNumberFormat="1" applyFont="1" applyFill="1" applyAlignment="1" applyProtection="1">
      <alignment vertical="center"/>
      <protection locked="0" hidden="0"/>
    </xf>
    <xf numFmtId="0" fontId="27" fillId="5" borderId="6" xfId="0" applyFont="1" applyFill="1" applyBorder="1" applyAlignment="1" applyProtection="1">
      <alignment vertical="center"/>
      <protection locked="0" hidden="0"/>
    </xf>
    <xf numFmtId="166" fontId="27" fillId="5" borderId="6" xfId="0" applyNumberFormat="1" applyFont="1" applyFill="1" applyBorder="1" applyAlignment="1" applyProtection="1">
      <alignment vertical="center"/>
      <protection locked="0" hidden="0"/>
    </xf>
    <xf numFmtId="0" fontId="13" fillId="5" borderId="0" xfId="0" applyFont="1" applyFill="1" applyAlignment="1" applyProtection="1">
      <alignment vertical="center"/>
      <protection locked="0" hidden="0"/>
    </xf>
    <xf numFmtId="166" fontId="13" fillId="5" borderId="0" xfId="0" applyNumberFormat="1" applyFont="1" applyFill="1" applyAlignment="1" applyProtection="1">
      <alignment vertical="center"/>
      <protection locked="0" hidden="0"/>
    </xf>
    <xf numFmtId="0" fontId="25" fillId="0" borderId="0" xfId="0" applyFont="1" applyAlignment="1" applyProtection="1">
      <alignment horizontal="right" wrapText="1"/>
      <protection locked="0" hidden="0"/>
    </xf>
    <xf numFmtId="0" fontId="25" fillId="0" borderId="0" xfId="0" applyFont="1" applyAlignment="1" applyProtection="1">
      <alignment horizontal="right"/>
      <protection locked="0" hidden="0"/>
    </xf>
    <xf numFmtId="0" fontId="14" fillId="0" borderId="2" xfId="0" applyFont="1" applyBorder="1" applyProtection="1">
      <protection locked="0" hidden="0"/>
    </xf>
    <xf numFmtId="0" fontId="47" fillId="0" borderId="0" xfId="0" applyFont="1" applyAlignment="1" applyProtection="1">
      <alignment horizontal="center" vertical="top"/>
      <protection locked="0" hidden="0"/>
    </xf>
    <xf numFmtId="0" fontId="17" fillId="0" borderId="0" xfId="0" applyFont="1" applyAlignment="1" applyProtection="1">
      <alignment vertical="top" wrapText="1"/>
      <protection locked="0" hidden="0"/>
    </xf>
    <xf numFmtId="0" fontId="10" fillId="6" borderId="0" xfId="0" applyFont="1" applyFill="1" applyAlignment="1" applyProtection="1">
      <alignment vertical="top" wrapText="1"/>
      <protection locked="0" hidden="0"/>
    </xf>
    <xf numFmtId="0" fontId="10" fillId="0" borderId="0" xfId="0" applyFont="1" applyAlignment="1" applyProtection="1">
      <alignment vertical="top" wrapText="1"/>
      <protection locked="0" hidden="0"/>
    </xf>
    <xf numFmtId="0" fontId="48" fillId="6" borderId="0" xfId="0" applyFont="1" applyFill="1" applyAlignment="1" applyProtection="1">
      <alignment vertical="top" wrapText="1"/>
      <protection locked="0" hidden="0"/>
    </xf>
    <xf numFmtId="0" fontId="11" fillId="0" borderId="0" xfId="0" applyFont="1" applyAlignment="1" applyProtection="1">
      <alignment horizontal="right"/>
      <protection locked="0" hidden="0"/>
    </xf>
    <xf numFmtId="0" fontId="3" fillId="0" borderId="0" xfId="0" applyFont="1" applyAlignment="1" applyProtection="1">
      <alignment vertical="center"/>
      <protection locked="0" hidden="0"/>
    </xf>
    <xf numFmtId="0" fontId="49" fillId="0" borderId="0" xfId="0" applyFont="1" applyProtection="1">
      <protection locked="0" hidden="0"/>
    </xf>
    <xf numFmtId="0" fontId="17" fillId="0" borderId="2" xfId="0" applyFont="1" applyBorder="1" applyAlignment="1" applyProtection="1">
      <alignment vertical="center"/>
      <protection locked="0" hidden="0"/>
    </xf>
    <xf numFmtId="165" fontId="17" fillId="0" borderId="2" xfId="0" applyNumberFormat="1" applyFont="1" applyBorder="1" applyAlignment="1" applyProtection="1">
      <alignment horizontal="center" vertical="center"/>
      <protection locked="0" hidden="0"/>
    </xf>
    <xf numFmtId="3" fontId="17" fillId="0" borderId="2" xfId="0" applyNumberFormat="1" applyFont="1" applyBorder="1" applyAlignment="1" applyProtection="1">
      <alignment horizontal="center" vertical="center"/>
      <protection locked="0" hidden="0"/>
    </xf>
    <xf numFmtId="9" fontId="17" fillId="0" borderId="2" xfId="0" applyNumberFormat="1" applyFont="1" applyBorder="1" applyAlignment="1" applyProtection="1">
      <alignment horizontal="center" vertical="center"/>
      <protection locked="0" hidden="0"/>
    </xf>
    <xf numFmtId="0" fontId="17" fillId="0" borderId="4" xfId="0" applyFont="1" applyBorder="1" applyAlignment="1" applyProtection="1">
      <alignment vertical="center"/>
      <protection locked="0" hidden="0"/>
    </xf>
    <xf numFmtId="165" fontId="17" fillId="0" borderId="4" xfId="0" applyNumberFormat="1" applyFont="1" applyBorder="1" applyAlignment="1" applyProtection="1">
      <alignment horizontal="center" vertical="center"/>
      <protection locked="0" hidden="0"/>
    </xf>
    <xf numFmtId="3" fontId="17" fillId="0" borderId="4" xfId="0" applyNumberFormat="1" applyFont="1" applyBorder="1" applyAlignment="1" applyProtection="1">
      <alignment horizontal="center" vertical="center"/>
      <protection locked="0" hidden="0"/>
    </xf>
    <xf numFmtId="9" fontId="17" fillId="0" borderId="4" xfId="0" applyNumberFormat="1" applyFont="1" applyBorder="1" applyAlignment="1" applyProtection="1">
      <alignment horizontal="center" vertical="center"/>
      <protection locked="0" hidden="0"/>
    </xf>
    <xf numFmtId="0" fontId="17" fillId="6" borderId="0" xfId="0" applyFont="1" applyFill="1" applyAlignment="1" applyProtection="1">
      <alignment horizontal="left" vertical="center" indent="1"/>
      <protection locked="0" hidden="0"/>
    </xf>
    <xf numFmtId="166" fontId="17" fillId="6" borderId="0" xfId="0" applyNumberFormat="1" applyFont="1" applyFill="1" applyAlignment="1" applyProtection="1">
      <alignment horizontal="right" vertical="center" indent="1"/>
      <protection locked="0" hidden="0"/>
    </xf>
    <xf numFmtId="0" fontId="17" fillId="6" borderId="0" xfId="0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left" vertical="center" indent="1"/>
      <protection locked="0" hidden="0"/>
    </xf>
    <xf numFmtId="165" fontId="28" fillId="5" borderId="0" xfId="0" applyNumberFormat="1" applyFont="1" applyFill="1" applyAlignment="1" applyProtection="1">
      <alignment horizontal="left" vertical="center" indent="1"/>
      <protection locked="0" hidden="0"/>
    </xf>
    <xf numFmtId="169" fontId="17" fillId="5" borderId="0" xfId="0" applyNumberFormat="1" applyFont="1" applyFill="1" applyAlignment="1" applyProtection="1">
      <alignment horizontal="left" vertical="center" indent="1"/>
      <protection locked="0" hidden="0"/>
    </xf>
    <xf numFmtId="0" fontId="17" fillId="5" borderId="0" xfId="0" applyFont="1" applyFill="1" applyAlignment="1" applyProtection="1">
      <alignment horizontal="left" vertical="center" indent="1"/>
      <protection locked="0" hidden="0"/>
    </xf>
    <xf numFmtId="0" fontId="16" fillId="7" borderId="0" xfId="0" applyFont="1" applyFill="1" applyAlignment="1" applyProtection="1">
      <alignment horizontal="left" vertical="center" indent="1"/>
      <protection locked="0" hidden="0"/>
    </xf>
    <xf numFmtId="166" fontId="16" fillId="7" borderId="0" xfId="0" applyNumberFormat="1" applyFont="1" applyFill="1" applyAlignment="1" applyProtection="1">
      <alignment horizontal="right" vertical="center" indent="1"/>
      <protection locked="0" hidden="0"/>
    </xf>
    <xf numFmtId="0" fontId="16" fillId="7" borderId="0" xfId="0" applyFont="1" applyFill="1" applyAlignment="1" applyProtection="1">
      <alignment horizontal="right" vertical="center" indent="1"/>
      <protection locked="0" hidden="0"/>
    </xf>
    <xf numFmtId="9" fontId="17" fillId="6" borderId="0" xfId="0" applyNumberFormat="1" applyFont="1" applyFill="1" applyAlignment="1" applyProtection="1">
      <alignment horizontal="right" vertical="center" indent="1"/>
      <protection locked="0" hidden="0"/>
    </xf>
    <xf numFmtId="166" fontId="13" fillId="5" borderId="0" xfId="0" applyNumberFormat="1" applyFont="1" applyFill="1" applyAlignment="1" applyProtection="1">
      <alignment horizontal="right" vertical="center" indent="1"/>
      <protection locked="0" hidden="0"/>
    </xf>
    <xf numFmtId="0" fontId="13" fillId="5" borderId="0" xfId="0" applyFont="1" applyFill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left" vertical="center" indent="1"/>
      <protection locked="0" hidden="0"/>
    </xf>
    <xf numFmtId="1" fontId="17" fillId="5" borderId="6" xfId="0" applyNumberFormat="1" applyFont="1" applyFill="1" applyBorder="1" applyAlignment="1" applyProtection="1">
      <alignment horizontal="right" vertical="center" indent="1"/>
      <protection locked="0" hidden="0"/>
    </xf>
    <xf numFmtId="0" fontId="17" fillId="5" borderId="6" xfId="0" applyFont="1" applyFill="1" applyBorder="1" applyAlignment="1" applyProtection="1">
      <alignment horizontal="right" vertical="center" indent="1"/>
      <protection locked="0" hidden="0"/>
    </xf>
    <xf numFmtId="0" fontId="25" fillId="0" borderId="0" xfId="0" applyFont="1" applyAlignment="1" applyProtection="1">
      <alignment horizontal="left" vertical="top" wrapText="1" indent="1"/>
      <protection locked="0" hidden="0"/>
    </xf>
    <xf numFmtId="166" fontId="17" fillId="5" borderId="0" xfId="0" applyNumberFormat="1" applyFont="1" applyFill="1" applyAlignment="1" applyProtection="1">
      <alignment horizontal="right" vertical="center" indent="1"/>
      <protection locked="0" hidden="0"/>
    </xf>
    <xf numFmtId="0" fontId="17" fillId="5" borderId="0" xfId="0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left" vertical="center" indent="1"/>
      <protection locked="0" hidden="0"/>
    </xf>
    <xf numFmtId="166" fontId="50" fillId="5" borderId="0" xfId="0" applyNumberFormat="1" applyFont="1" applyFill="1" applyAlignment="1" applyProtection="1">
      <alignment horizontal="right" vertical="center" indent="1"/>
      <protection locked="0" hidden="0"/>
    </xf>
    <xf numFmtId="0" fontId="50" fillId="5" borderId="0" xfId="0" applyFont="1" applyFill="1" applyAlignment="1" applyProtection="1">
      <alignment horizontal="right" vertical="center" indent="1"/>
      <protection locked="0" hidden="0"/>
    </xf>
    <xf numFmtId="0" fontId="11" fillId="0" borderId="0" xfId="0" applyFont="1" applyAlignment="1" applyProtection="1">
      <alignment vertical="top" wrapText="1"/>
      <protection locked="0" hidden="0"/>
    </xf>
    <xf numFmtId="0" fontId="51" fillId="0" borderId="0" xfId="0" applyFont="1"/>
    <xf numFmtId="0" fontId="51" fillId="0" borderId="0" xfId="0" applyFont="1" applyAlignment="1">
      <alignment horizontal="right"/>
    </xf>
    <xf numFmtId="0" fontId="51" fillId="0" borderId="0" xfId="0" applyFont="1" applyAlignment="1">
      <alignment horizontal="right" vertical="center"/>
    </xf>
    <xf numFmtId="0" fontId="51" fillId="0" borderId="0" xfId="0" applyFont="1" applyAlignment="1">
      <alignment horizontal="right" vertical="center" wrapText="1"/>
    </xf>
    <xf numFmtId="0" fontId="52" fillId="0" borderId="0" xfId="0" applyFont="1"/>
    <xf numFmtId="0" fontId="53" fillId="0" borderId="0" xfId="0" applyFont="1"/>
    <xf numFmtId="0" fontId="53" fillId="0" borderId="0" xfId="0" applyFont="1" applyAlignment="1">
      <alignment vertical="center"/>
    </xf>
    <xf numFmtId="0" fontId="54" fillId="0" borderId="0" xfId="0" applyFont="1"/>
    <xf numFmtId="0" fontId="54" fillId="0" borderId="0" xfId="0" applyFont="1" applyAlignment="1">
      <alignment vertical="top"/>
    </xf>
    <xf numFmtId="0" fontId="54" fillId="0" borderId="0" xfId="0" applyFont="1" applyAlignment="1">
      <alignment vertical="top" wrapText="1"/>
    </xf>
    <xf numFmtId="0" fontId="46" fillId="0" borderId="0" xfId="0" applyFont="1"/>
    <xf numFmtId="0" fontId="46" fillId="0" borderId="13" xfId="0" applyFont="1" applyBorder="1"/>
    <xf numFmtId="0" fontId="46" fillId="0" borderId="0" xfId="0" applyFont="1" applyAlignment="1">
      <alignment horizontal="center"/>
    </xf>
    <xf numFmtId="0" fontId="46" fillId="0" borderId="0" xfId="0" applyFont="1" applyAlignment="1">
      <alignment horizontal="center" vertical="center"/>
    </xf>
    <xf numFmtId="0" fontId="55" fillId="0" borderId="0" xfId="0" applyFont="1"/>
    <xf numFmtId="0" fontId="55" fillId="0" borderId="0" xfId="0" applyFont="1" applyAlignment="1">
      <alignment vertical="center"/>
    </xf>
    <xf numFmtId="0" fontId="55" fillId="0" borderId="0" xfId="0" applyFont="1" applyAlignment="1">
      <alignment vertical="center" wrapText="1"/>
    </xf>
    <xf numFmtId="0" fontId="46" fillId="0" borderId="14" xfId="0" applyFont="1" applyBorder="1" applyAlignment="1">
      <alignment horizontal="center" vertical="center"/>
    </xf>
    <xf numFmtId="0" fontId="55" fillId="0" borderId="14" xfId="0" applyFont="1" applyBorder="1" applyAlignment="1">
      <alignment vertical="center" wrapText="1"/>
    </xf>
    <xf numFmtId="0" fontId="56" fillId="0" borderId="0" xfId="0" applyFont="1"/>
    <xf numFmtId="0" fontId="57" fillId="0" borderId="0" xfId="0" applyFont="1"/>
    <xf numFmtId="0" fontId="57" fillId="3" borderId="0" xfId="0" applyFont="1" applyFill="1"/>
    <xf numFmtId="0" fontId="57" fillId="3" borderId="0" xfId="0" applyFont="1" applyFill="1" applyAlignment="1">
      <alignment horizontal="center"/>
    </xf>
    <xf numFmtId="0" fontId="57" fillId="3" borderId="0" xfId="0" applyFont="1" applyFill="1" applyAlignment="1">
      <alignment horizontal="center" vertical="top"/>
    </xf>
    <xf numFmtId="0" fontId="58" fillId="6" borderId="0" xfId="0" applyFont="1" applyFill="1"/>
    <xf numFmtId="0" fontId="59" fillId="6" borderId="0" xfId="0" applyFont="1" applyFill="1"/>
    <xf numFmtId="0" fontId="60" fillId="6" borderId="0" xfId="0" applyFont="1" applyFill="1"/>
    <xf numFmtId="0" fontId="61" fillId="6" borderId="0" xfId="0" applyFont="1" applyFill="1"/>
    <xf numFmtId="0" fontId="61" fillId="3" borderId="0" xfId="0" applyFont="1" applyFill="1"/>
    <xf numFmtId="0" fontId="61" fillId="3" borderId="0" xfId="0" applyFont="1" applyFill="1" applyAlignment="1">
      <alignment horizontal="center"/>
    </xf>
    <xf numFmtId="0" fontId="61" fillId="3" borderId="0" xfId="0" applyFont="1" applyFill="1" applyAlignment="1">
      <alignment horizontal="center" vertical="center"/>
    </xf>
    <xf numFmtId="0" fontId="1" fillId="6" borderId="0" xfId="0" applyFont="1" applyFill="1"/>
    <xf numFmtId="0" fontId="4" fillId="6" borderId="0" xfId="0" applyFont="1" applyFill="1"/>
    <xf numFmtId="0" fontId="49" fillId="6" borderId="0" xfId="0" applyFont="1" applyFill="1"/>
    <xf numFmtId="0" fontId="49" fillId="6" borderId="0" xfId="0" applyFont="1" applyFill="1" applyAlignment="1">
      <alignment vertical="center"/>
    </xf>
    <xf numFmtId="0" fontId="49" fillId="6" borderId="0" xfId="0" applyFont="1" applyFill="1" applyAlignment="1">
      <alignment horizontal="left" vertical="center" indent="1"/>
    </xf>
    <xf numFmtId="0" fontId="0" fillId="6" borderId="0" xfId="0" applyFill="1" applyAlignment="1">
      <alignment wrapText="1"/>
    </xf>
    <xf numFmtId="0" fontId="6" fillId="6" borderId="0" xfId="0" applyFont="1" applyFill="1" applyAlignment="1">
      <alignment wrapText="1"/>
    </xf>
    <xf numFmtId="0" fontId="55" fillId="6" borderId="0" xfId="0" applyFont="1" applyFill="1" applyAlignment="1">
      <alignment wrapText="1"/>
    </xf>
    <xf numFmtId="0" fontId="55" fillId="6" borderId="0" xfId="0" applyFont="1" applyFill="1"/>
    <xf numFmtId="0" fontId="55" fillId="6" borderId="0" xfId="0" applyFont="1" applyFill="1" applyAlignment="1">
      <alignment vertical="top" wrapText="1"/>
    </xf>
    <xf numFmtId="0" fontId="55" fillId="6" borderId="0" xfId="0" applyFont="1" applyFill="1" applyAlignment="1">
      <alignment vertical="top"/>
    </xf>
    <xf numFmtId="0" fontId="55" fillId="6" borderId="0" xfId="0" applyFont="1" applyFill="1" applyAlignment="1">
      <alignment horizontal="left" vertical="top" wrapText="1" indent="1"/>
    </xf>
    <xf numFmtId="0" fontId="57" fillId="8" borderId="0" xfId="0" applyFont="1" applyFill="1"/>
    <xf numFmtId="0" fontId="57" fillId="8" borderId="0" xfId="0" applyFont="1" applyFill="1" applyAlignment="1">
      <alignment horizontal="center"/>
    </xf>
    <xf numFmtId="0" fontId="57" fillId="8" borderId="0" xfId="0" applyFont="1" applyFill="1" applyAlignment="1">
      <alignment horizontal="center" vertical="top"/>
    </xf>
    <xf numFmtId="0" fontId="58" fillId="2" borderId="0" xfId="0" applyFont="1" applyFill="1"/>
    <xf numFmtId="0" fontId="59" fillId="2" borderId="0" xfId="0" applyFont="1" applyFill="1"/>
    <xf numFmtId="0" fontId="60" fillId="2" borderId="0" xfId="0" applyFont="1" applyFill="1"/>
    <xf numFmtId="0" fontId="61" fillId="2" borderId="0" xfId="0" applyFont="1" applyFill="1"/>
    <xf numFmtId="0" fontId="61" fillId="8" borderId="0" xfId="0" applyFont="1" applyFill="1"/>
    <xf numFmtId="0" fontId="61" fillId="8" borderId="0" xfId="0" applyFont="1" applyFill="1" applyAlignment="1">
      <alignment horizontal="center"/>
    </xf>
    <xf numFmtId="0" fontId="61" fillId="8" borderId="0" xfId="0" applyFont="1" applyFill="1" applyAlignment="1">
      <alignment horizontal="center" vertical="center"/>
    </xf>
    <xf numFmtId="0" fontId="4" fillId="2" borderId="0" xfId="0" applyFont="1" applyFill="1"/>
    <xf numFmtId="0" fontId="62" fillId="2" borderId="0" xfId="0" applyFont="1" applyFill="1"/>
    <xf numFmtId="0" fontId="62" fillId="2" borderId="0" xfId="0" applyFont="1" applyFill="1" applyAlignment="1">
      <alignment vertical="center"/>
    </xf>
    <xf numFmtId="0" fontId="62" fillId="2" borderId="0" xfId="0" applyFont="1" applyFill="1" applyAlignment="1">
      <alignment horizontal="left" vertical="center" indent="1"/>
    </xf>
    <xf numFmtId="0" fontId="6" fillId="2" borderId="0" xfId="0" applyFont="1" applyFill="1"/>
    <xf numFmtId="0" fontId="55" fillId="2" borderId="0" xfId="0" applyFont="1" applyFill="1"/>
    <xf numFmtId="0" fontId="55" fillId="2" borderId="0" xfId="0" applyFont="1" applyFill="1" applyAlignment="1">
      <alignment vertical="top"/>
    </xf>
    <xf numFmtId="0" fontId="55" fillId="2" borderId="0" xfId="0" applyFont="1" applyFill="1" applyAlignment="1">
      <alignment vertical="top" wrapText="1"/>
    </xf>
    <xf numFmtId="0" fontId="55" fillId="2" borderId="0" xfId="0" applyFont="1" applyFill="1" applyAlignment="1">
      <alignment horizontal="left" vertical="top" wrapText="1" indent="1"/>
    </xf>
    <xf numFmtId="0" fontId="57" fillId="9" borderId="0" xfId="0" applyFont="1" applyFill="1"/>
    <xf numFmtId="0" fontId="57" fillId="9" borderId="0" xfId="0" applyFont="1" applyFill="1" applyAlignment="1">
      <alignment horizontal="center"/>
    </xf>
    <xf numFmtId="0" fontId="57" fillId="9" borderId="0" xfId="0" applyFont="1" applyFill="1" applyAlignment="1">
      <alignment horizontal="center" vertical="top"/>
    </xf>
    <xf numFmtId="0" fontId="61" fillId="9" borderId="0" xfId="0" applyFont="1" applyFill="1"/>
    <xf numFmtId="0" fontId="61" fillId="9" borderId="0" xfId="0" applyFont="1" applyFill="1" applyAlignment="1">
      <alignment horizontal="center"/>
    </xf>
    <xf numFmtId="0" fontId="61" fillId="9" borderId="0" xfId="0" applyFont="1" applyFill="1" applyAlignment="1">
      <alignment horizontal="center" vertical="center"/>
    </xf>
    <xf numFmtId="0" fontId="63" fillId="0" borderId="0" xfId="0" applyFont="1"/>
    <xf numFmtId="0" fontId="63" fillId="10" borderId="0" xfId="0" applyFont="1" applyFill="1"/>
    <xf numFmtId="0" fontId="63" fillId="10" borderId="0" xfId="0" applyFont="1" applyFill="1" applyAlignment="1">
      <alignment horizontal="center"/>
    </xf>
    <xf numFmtId="0" fontId="63" fillId="10" borderId="0" xfId="0" applyFont="1" applyFill="1" applyAlignment="1">
      <alignment horizontal="center" vertical="center"/>
    </xf>
    <xf numFmtId="0" fontId="63" fillId="10" borderId="15" xfId="0" applyFont="1" applyFill="1" applyBorder="1" applyAlignment="1">
      <alignment horizontal="center" vertical="center"/>
    </xf>
    <xf numFmtId="0" fontId="55" fillId="0" borderId="0" xfId="0" applyFont="1" applyAlignment="1">
      <alignment horizontal="left" vertical="center" wrapText="1" indent="1"/>
    </xf>
    <xf numFmtId="0" fontId="63" fillId="3" borderId="0" xfId="0" applyFont="1" applyFill="1"/>
    <xf numFmtId="0" fontId="63" fillId="3" borderId="0" xfId="0" applyFont="1" applyFill="1" applyAlignment="1">
      <alignment horizontal="center"/>
    </xf>
    <xf numFmtId="0" fontId="63" fillId="3" borderId="0" xfId="0" applyFont="1" applyFill="1" applyAlignment="1">
      <alignment horizontal="center" vertical="center"/>
    </xf>
    <xf numFmtId="0" fontId="63" fillId="11" borderId="0" xfId="0" applyFont="1" applyFill="1"/>
    <xf numFmtId="0" fontId="63" fillId="11" borderId="0" xfId="0" applyFont="1" applyFill="1" applyAlignment="1">
      <alignment horizontal="center"/>
    </xf>
    <xf numFmtId="0" fontId="63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right" vertical="center"/>
    </xf>
  </cellXfs>
  <cellStyles count="1">
    <cellStyle name="Normal" xfId="0" builtinId="0"/>
  </cellStyles>
  <dxfs count="4">
    <dxf>
      <font>
        <b/>
        <color rgb="FFE10614"/>
      </font>
    </dxf>
    <dxf>
      <font>
        <color rgb="FF9C0006"/>
      </font>
    </dxf>
    <dxf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Relationship Id="rId7" Type="http://schemas.openxmlformats.org/officeDocument/2006/relationships/theme" Target="theme/theme1.xml"/><Relationship Id="rId8" Type="http://schemas.openxmlformats.org/officeDocument/2006/relationships/sharedStrings" Target="sharedStrings.xml"/><Relationship Id="rId9" Type="http://schemas.openxmlformats.org/officeDocument/2006/relationships/sheetMetadata" Target="metadata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jpeg"/><Relationship Id="rId3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895350</xdr:colOff>
      <xdr:row>4</xdr:row>
      <xdr:rowOff>76200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123950" cy="7239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571500</xdr:colOff>
      <xdr:row>12</xdr:row>
      <xdr:rowOff>171450</xdr:rowOff>
    </xdr:to>
    <xdr:pic>
      <xdr:nvPicPr>
        <xdr:cNvPr id="3" name="Picture 2" descr="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1028700" cy="1028700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8</xdr:col>
      <xdr:colOff>304800</xdr:colOff>
      <xdr:row>49</xdr:row>
      <xdr:rowOff>114300</xdr:rowOff>
    </xdr:to>
    <xdr:pic>
      <xdr:nvPicPr>
        <xdr:cNvPr id="4" name="Picture 3" descr="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762000" cy="495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>
  <xdr:twoCellAnchor editAs="oneCell">
    <xdr:from>
      <xdr:col>1</xdr:col>
      <xdr:colOff>0</xdr:colOff>
      <xdr:row>1</xdr:row>
      <xdr:rowOff>0</xdr:rowOff>
    </xdr:from>
    <xdr:to>
      <xdr:col>2</xdr:col>
      <xdr:colOff>514350</xdr:colOff>
      <xdr:row>1</xdr:row>
      <xdr:rowOff>609600</xdr:rowOff>
    </xdr:to>
    <xdr:pic>
      <xdr:nvPicPr>
        <xdr:cNvPr id="2" name="Picture 1" descr="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95250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raft">
  <a:themeElements>
    <a:clrScheme name="Craf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Craft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raft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3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E10614"/>
  </sheetPr>
  <dimension ref="A1:I83"/>
  <sheetViews>
    <sheetView tabSelected="1" showGridLines="0" workbookViewId="0">
      <selection activeCell="A1" sqref="A1"/>
    </sheetView>
  </sheetViews>
  <sheetFormatPr defaultRowHeight="15"/>
  <cols>
    <col min="1" max="1" width="1.07421875" customWidth="1"/>
    <col min="2" max="2" width="3.421875" customWidth="1"/>
    <col min="3" max="3" width="26.00390625" customWidth="1"/>
    <col min="4" max="4" width="6.28125" customWidth="1"/>
    <col min="5" max="5" width="8.28125" customWidth="1"/>
    <col min="6" max="6" width="8.00390625" customWidth="1"/>
    <col min="7" max="7" width="17.140625" customWidth="1"/>
    <col min="8" max="8" width="6.8515625" customWidth="1"/>
    <col min="9" max="9" width="11.421875" customWidth="1"/>
  </cols>
  <sheetData>
    <row r="1" ht="6" customHeight="1">
      <c r="A1" s="385"/>
      <c r="B1" s="385"/>
      <c r="C1" s="385"/>
      <c r="D1" s="385"/>
      <c r="E1" s="385"/>
      <c r="F1" s="385"/>
      <c r="G1" s="385"/>
      <c r="H1" s="385"/>
      <c r="I1" s="385"/>
    </row>
    <row r="2" ht="18" customHeight="1">
      <c r="A2" s="385"/>
      <c r="B2" s="385"/>
      <c r="C2" s="385"/>
      <c r="D2" s="385"/>
      <c r="E2" s="386" t="s">
        <v>0</v>
      </c>
      <c r="F2" s="386"/>
      <c r="G2" s="386"/>
      <c r="H2" s="386"/>
      <c r="I2" s="386"/>
    </row>
    <row r="3" ht="18" customHeight="1">
      <c r="A3" s="385"/>
      <c r="C3" s="385"/>
      <c r="D3" s="385"/>
      <c r="E3" s="386"/>
      <c r="F3" s="386"/>
      <c r="G3" s="386"/>
      <c r="H3" s="386"/>
      <c r="I3" s="386"/>
    </row>
    <row r="4">
      <c r="A4" s="385"/>
      <c r="B4" s="385"/>
      <c r="C4" s="385"/>
      <c r="D4" s="385"/>
      <c r="E4" s="387" t="s">
        <v>1</v>
      </c>
      <c r="F4" s="387"/>
      <c r="G4" s="387"/>
      <c r="H4" s="387"/>
      <c r="I4" s="387"/>
    </row>
    <row r="5" ht="7.5" customHeight="1">
      <c r="A5" s="385"/>
      <c r="B5" s="385"/>
      <c r="C5" s="385"/>
      <c r="D5" s="385"/>
      <c r="E5" s="385"/>
      <c r="F5" s="385"/>
      <c r="G5" s="385"/>
      <c r="H5" s="385"/>
      <c r="I5" s="385"/>
    </row>
    <row r="6" ht="3" customHeight="1">
      <c r="A6" s="385"/>
      <c r="B6" s="388"/>
      <c r="C6" s="388"/>
      <c r="D6" s="388"/>
      <c r="E6" s="388"/>
      <c r="F6" s="388"/>
      <c r="G6" s="388"/>
      <c r="H6" s="388"/>
      <c r="I6" s="388"/>
    </row>
    <row r="7" ht="1.5" customHeight="1">
      <c r="A7" s="385"/>
      <c r="B7" s="389"/>
      <c r="C7" s="389"/>
      <c r="D7" s="389"/>
      <c r="E7" s="389"/>
      <c r="F7" s="389"/>
      <c r="G7" s="389"/>
      <c r="H7" s="389"/>
      <c r="I7" s="389"/>
    </row>
    <row r="8" ht="25.5" customHeight="1">
      <c r="A8" s="385"/>
      <c r="B8" s="390" t="s">
        <v>2</v>
      </c>
      <c r="C8" s="390"/>
      <c r="D8" s="391" t="s">
        <v>3</v>
      </c>
      <c r="E8" s="391"/>
      <c r="F8" s="391"/>
      <c r="G8" s="391"/>
      <c r="H8" s="391"/>
      <c r="I8" s="391"/>
    </row>
    <row r="9" ht="15" customHeight="1">
      <c r="A9" s="385"/>
      <c r="B9" s="390" t="s">
        <v>4</v>
      </c>
      <c r="C9" s="390"/>
      <c r="D9" s="392" t="s">
        <v>5</v>
      </c>
      <c r="E9" s="392"/>
      <c r="F9" s="392"/>
      <c r="G9" s="392"/>
      <c r="H9" s="393"/>
      <c r="I9" s="393"/>
    </row>
    <row r="10" ht="15" customHeight="1">
      <c r="A10" s="385"/>
      <c r="B10" s="390" t="s">
        <v>6</v>
      </c>
      <c r="C10" s="390"/>
      <c r="D10" s="394">
        <v>4</v>
      </c>
      <c r="E10" s="392"/>
      <c r="F10" s="392"/>
      <c r="G10" s="392"/>
      <c r="H10" s="393"/>
      <c r="I10" s="393"/>
    </row>
    <row r="11" ht="15" customHeight="1">
      <c r="A11" s="385"/>
      <c r="B11" s="390" t="s">
        <v>7</v>
      </c>
      <c r="C11" s="390"/>
      <c r="D11" s="394"/>
      <c r="E11" s="392"/>
      <c r="F11" s="392"/>
      <c r="G11" s="392"/>
      <c r="H11" s="393"/>
      <c r="I11" s="393"/>
    </row>
    <row r="12" ht="22.5" customHeight="1">
      <c r="A12" s="385"/>
      <c r="B12" s="390" t="s">
        <v>8</v>
      </c>
      <c r="C12" s="390"/>
      <c r="D12" s="395" t="s">
        <v>9</v>
      </c>
      <c r="E12" s="395"/>
      <c r="F12" s="395"/>
      <c r="G12" s="395"/>
      <c r="H12" s="393"/>
      <c r="I12" s="393"/>
    </row>
    <row r="13" ht="15" customHeight="1">
      <c r="A13" s="385"/>
      <c r="B13" s="390" t="s">
        <v>10</v>
      </c>
      <c r="C13" s="390"/>
      <c r="D13" s="395" t="s">
        <v>11</v>
      </c>
      <c r="E13" s="395"/>
      <c r="F13" s="395"/>
      <c r="G13" s="395"/>
      <c r="H13" s="393"/>
      <c r="I13" s="393"/>
    </row>
    <row r="14" ht="4.5" customHeight="1">
      <c r="A14" s="385"/>
      <c r="B14" s="396"/>
      <c r="C14" s="397"/>
      <c r="D14" s="397"/>
      <c r="E14" s="397"/>
      <c r="F14" s="397"/>
      <c r="G14" s="397"/>
      <c r="H14" s="397"/>
      <c r="I14" s="397"/>
    </row>
    <row r="15" ht="16.5" customHeight="1">
      <c r="A15" s="385"/>
      <c r="B15" s="396"/>
      <c r="C15" s="398" t="s">
        <v>12</v>
      </c>
      <c r="D15" s="398"/>
      <c r="E15" s="398"/>
      <c r="F15" s="398"/>
      <c r="G15" s="398"/>
      <c r="H15" s="398"/>
      <c r="I15" s="398"/>
    </row>
    <row r="16" ht="22.5" customHeight="1">
      <c r="A16" s="385"/>
      <c r="B16" s="396"/>
      <c r="C16" s="399" t="s">
        <v>13</v>
      </c>
      <c r="D16" s="399"/>
      <c r="E16" s="399"/>
      <c r="F16" s="399"/>
      <c r="G16" s="399"/>
      <c r="H16" s="399"/>
      <c r="I16" s="399"/>
    </row>
    <row r="17" ht="4.5" customHeight="1">
      <c r="A17" s="385"/>
      <c r="B17" s="396"/>
      <c r="C17" s="397"/>
      <c r="D17" s="397"/>
      <c r="E17" s="397"/>
      <c r="F17" s="397"/>
      <c r="G17" s="397"/>
      <c r="H17" s="397"/>
      <c r="I17" s="397"/>
    </row>
    <row r="18" ht="18" customHeight="1">
      <c r="A18" s="385"/>
      <c r="B18" s="400" t="s">
        <v>14</v>
      </c>
      <c r="C18" s="400" t="s">
        <v>15</v>
      </c>
      <c r="D18" s="400" t="s">
        <v>16</v>
      </c>
      <c r="E18" s="400" t="s">
        <v>17</v>
      </c>
      <c r="F18" s="400" t="s">
        <v>18</v>
      </c>
      <c r="G18" s="400" t="s">
        <v>19</v>
      </c>
      <c r="H18" s="400"/>
      <c r="I18" s="400" t="s">
        <v>20</v>
      </c>
    </row>
    <row r="19" ht="12" customHeight="1">
      <c r="A19" s="385"/>
      <c r="B19" s="401">
        <v>1</v>
      </c>
      <c r="C19" s="402" t="s">
        <v>21</v>
      </c>
      <c r="D19" s="403" t="s">
        <v>22</v>
      </c>
      <c r="E19" s="403">
        <v>60</v>
      </c>
      <c r="F19" s="403" t="s">
        <v>23</v>
      </c>
      <c r="G19" s="404" t="s">
        <v>24</v>
      </c>
      <c r="H19" s="404"/>
      <c r="I19" s="313" t="str">
        <f>IF(Custos!L15="","",Custos!L15)</f>
        <v/>
      </c>
    </row>
    <row r="20" ht="12" customHeight="1">
      <c r="A20" s="385"/>
      <c r="B20" s="406">
        <v>2</v>
      </c>
      <c r="C20" s="407" t="s">
        <v>25</v>
      </c>
      <c r="D20" s="408" t="s">
        <v>22</v>
      </c>
      <c r="E20" s="408">
        <v>30</v>
      </c>
      <c r="F20" s="408" t="s">
        <v>23</v>
      </c>
      <c r="G20" s="409" t="s">
        <v>26</v>
      </c>
      <c r="H20" s="409"/>
      <c r="I20" s="314" t="str">
        <f>IF(Custos!L16="","",Custos!L16)</f>
        <v/>
      </c>
    </row>
    <row r="21" ht="12" customHeight="1">
      <c r="A21" s="385"/>
      <c r="B21" s="406">
        <v>3</v>
      </c>
      <c r="C21" s="407" t="s">
        <v>27</v>
      </c>
      <c r="D21" s="408" t="s">
        <v>22</v>
      </c>
      <c r="E21" s="408">
        <v>30</v>
      </c>
      <c r="F21" s="408" t="s">
        <v>23</v>
      </c>
      <c r="G21" s="409" t="s">
        <v>26</v>
      </c>
      <c r="H21" s="409"/>
      <c r="I21" s="314" t="str">
        <f>IF(Custos!L17="","",Custos!L17)</f>
        <v/>
      </c>
    </row>
    <row r="22" ht="12" customHeight="1">
      <c r="A22" s="385"/>
      <c r="B22" s="406">
        <v>4</v>
      </c>
      <c r="C22" s="407" t="s">
        <v>28</v>
      </c>
      <c r="D22" s="408" t="s">
        <v>29</v>
      </c>
      <c r="E22" s="408" t="s">
        <v>30</v>
      </c>
      <c r="F22" s="408" t="s">
        <v>31</v>
      </c>
      <c r="G22" s="409" t="s">
        <v>32</v>
      </c>
      <c r="H22" s="409"/>
      <c r="I22" s="314" t="str">
        <f>IF(Custos!L18="","",Custos!L18)</f>
        <v/>
      </c>
    </row>
    <row r="23" ht="12" customHeight="1">
      <c r="A23" s="385"/>
      <c r="B23" s="406">
        <v>5</v>
      </c>
      <c r="C23" s="407" t="s">
        <v>33</v>
      </c>
      <c r="D23" s="408" t="s">
        <v>22</v>
      </c>
      <c r="E23" s="408" t="s">
        <v>30</v>
      </c>
      <c r="F23" s="408" t="s">
        <v>31</v>
      </c>
      <c r="G23" s="409" t="s">
        <v>34</v>
      </c>
      <c r="H23" s="409"/>
      <c r="I23" s="314" t="str">
        <f>IF(Custos!L19="","",Custos!L19)</f>
        <v/>
      </c>
    </row>
    <row r="24" ht="12" customHeight="1">
      <c r="A24" s="385"/>
      <c r="B24" s="406">
        <v>6</v>
      </c>
      <c r="C24" s="407"/>
      <c r="D24" s="408"/>
      <c r="E24" s="408"/>
      <c r="F24" s="408"/>
      <c r="G24" s="409"/>
      <c r="H24" s="409"/>
      <c r="I24" s="314" t="str">
        <f>IF(Custos!L20="","",Custos!L20)</f>
        <v/>
      </c>
    </row>
    <row r="25" ht="12" customHeight="1">
      <c r="A25" s="385"/>
      <c r="B25" s="406">
        <v>7</v>
      </c>
      <c r="C25" s="407"/>
      <c r="D25" s="408"/>
      <c r="E25" s="408"/>
      <c r="F25" s="408"/>
      <c r="G25" s="409"/>
      <c r="H25" s="409"/>
      <c r="I25" s="314" t="str">
        <f>IF(Custos!L21="","",Custos!L21)</f>
        <v/>
      </c>
    </row>
    <row r="26" ht="12" customHeight="1">
      <c r="A26" s="385"/>
      <c r="B26" s="406">
        <v>8</v>
      </c>
      <c r="C26" s="407"/>
      <c r="D26" s="408"/>
      <c r="E26" s="408"/>
      <c r="F26" s="408"/>
      <c r="G26" s="409"/>
      <c r="H26" s="409"/>
      <c r="I26" s="314" t="str">
        <f>IF(Custos!L22="","",Custos!L22)</f>
        <v/>
      </c>
    </row>
    <row r="27" ht="12.75" customHeight="1">
      <c r="A27" s="385"/>
      <c r="B27" s="316"/>
      <c r="C27" s="316" t="s">
        <v>35</v>
      </c>
      <c r="D27" s="316"/>
      <c r="E27" s="316"/>
      <c r="F27" s="316"/>
      <c r="G27" s="316"/>
      <c r="H27" s="316"/>
      <c r="I27" s="321">
        <f>CustoIngredientes</f>
        <v>0</v>
      </c>
    </row>
    <row r="28" ht="12.75" customHeight="1">
      <c r="A28" s="385"/>
      <c r="B28" s="318"/>
      <c r="C28" s="318" t="s">
        <v>36</v>
      </c>
      <c r="D28" s="318"/>
      <c r="E28" s="318"/>
      <c r="F28" s="318"/>
      <c r="G28" s="318"/>
      <c r="H28" s="318"/>
      <c r="I28" s="322" t="str">
        <f>CustoTotalPorcao</f>
        <v/>
      </c>
    </row>
    <row r="29" ht="12.75" customHeight="1">
      <c r="A29" s="385"/>
      <c r="B29" s="316"/>
      <c r="C29" s="316" t="str">
        <f>IF(N(CMVDesejado)&gt;0,"PREÇO DE REFERÊNCIA POR PORÇÃO (CMV de "&amp;TEXT(CMVDesejado,"0%")&amp;")","PREÇO DE REFERÊNCIA POR PORÇÃO (CMV)")</f>
        <v>PREÇO DE REFERÊNCIA POR PORÇÃO (CMV de 30%)</v>
      </c>
      <c r="D29" s="316"/>
      <c r="E29" s="316"/>
      <c r="F29" s="316"/>
      <c r="G29" s="316"/>
      <c r="H29" s="316"/>
      <c r="I29" s="321" t="str">
        <f>PrecoSugerido</f>
        <v/>
      </c>
    </row>
    <row r="30" ht="12.75" customHeight="1">
      <c r="A30" s="385"/>
      <c r="B30" s="320"/>
      <c r="C30" s="320" t="s">
        <v>37</v>
      </c>
      <c r="D30" s="320"/>
      <c r="E30" s="320"/>
      <c r="F30" s="320"/>
      <c r="G30" s="320"/>
      <c r="H30" s="320"/>
      <c r="I30" s="323" t="str">
        <f>IF(PrecoNegocio="","–",PrecoNegocio)</f>
        <v>–</v>
      </c>
    </row>
    <row r="31" ht="12.75" customHeight="1">
      <c r="A31" s="385"/>
      <c r="B31" s="46"/>
      <c r="C31" s="46" t="s">
        <v>38</v>
      </c>
      <c r="D31" s="46"/>
      <c r="E31" s="46"/>
      <c r="F31" s="46"/>
      <c r="G31" s="46"/>
      <c r="H31" s="46"/>
      <c r="I31" s="324" t="str">
        <f>LucroReceita</f>
        <v/>
      </c>
    </row>
    <row r="32" ht="27" customHeight="1">
      <c r="A32" s="385"/>
      <c r="B32" s="419" t="s">
        <v>39</v>
      </c>
      <c r="C32" s="420"/>
      <c r="D32" s="420"/>
      <c r="E32" s="420"/>
      <c r="F32" s="420"/>
      <c r="G32" s="420"/>
      <c r="H32" s="420"/>
      <c r="I32" s="420"/>
    </row>
    <row r="33">
      <c r="A33" s="385"/>
      <c r="B33" s="385"/>
      <c r="C33" s="385"/>
      <c r="D33" s="385"/>
      <c r="E33" s="385"/>
      <c r="F33" s="385"/>
      <c r="G33" s="385"/>
      <c r="H33" s="385"/>
      <c r="I33" s="385"/>
    </row>
    <row r="34">
      <c r="A34" s="385"/>
      <c r="B34" s="421" t="s">
        <v>40</v>
      </c>
      <c r="C34" s="421"/>
      <c r="D34" s="421"/>
      <c r="E34" s="421"/>
      <c r="F34" s="421"/>
      <c r="G34" s="421"/>
      <c r="H34" s="421"/>
      <c r="I34" s="421"/>
    </row>
    <row r="35" ht="13.5" customHeight="1">
      <c r="A35" s="385"/>
      <c r="B35" s="422">
        <v>1</v>
      </c>
      <c r="C35" s="423" t="s">
        <v>41</v>
      </c>
      <c r="D35" s="423"/>
      <c r="E35" s="423"/>
      <c r="F35" s="423"/>
      <c r="G35" s="423"/>
      <c r="H35" s="423"/>
      <c r="I35" s="423"/>
    </row>
    <row r="36" ht="13.5" customHeight="1">
      <c r="A36" s="385"/>
      <c r="B36" s="422">
        <v>2</v>
      </c>
      <c r="C36" s="423" t="s">
        <v>42</v>
      </c>
      <c r="D36" s="423"/>
      <c r="E36" s="423"/>
      <c r="F36" s="423"/>
      <c r="G36" s="423"/>
      <c r="H36" s="423"/>
      <c r="I36" s="423"/>
    </row>
    <row r="37" ht="13.5" customHeight="1">
      <c r="A37" s="385"/>
      <c r="B37" s="422">
        <v>3</v>
      </c>
      <c r="C37" s="423" t="s">
        <v>43</v>
      </c>
      <c r="D37" s="423"/>
      <c r="E37" s="423"/>
      <c r="F37" s="423"/>
      <c r="G37" s="423"/>
      <c r="H37" s="423"/>
      <c r="I37" s="423"/>
    </row>
    <row r="38" ht="13.5" customHeight="1">
      <c r="A38" s="385"/>
      <c r="B38" s="422">
        <v>4</v>
      </c>
      <c r="C38" s="423" t="s">
        <v>44</v>
      </c>
      <c r="D38" s="423"/>
      <c r="E38" s="423"/>
      <c r="F38" s="423"/>
      <c r="G38" s="423"/>
      <c r="H38" s="423"/>
      <c r="I38" s="423"/>
    </row>
    <row r="39">
      <c r="A39" s="385"/>
      <c r="B39" s="385"/>
      <c r="C39" s="385"/>
      <c r="D39" s="385"/>
      <c r="E39" s="385"/>
      <c r="F39" s="385"/>
      <c r="G39" s="385"/>
      <c r="H39" s="385"/>
      <c r="I39" s="385"/>
    </row>
    <row r="40">
      <c r="A40" s="385"/>
      <c r="B40" s="421" t="s">
        <v>45</v>
      </c>
      <c r="C40" s="421"/>
      <c r="D40" s="421"/>
      <c r="E40" s="421"/>
      <c r="F40" s="385"/>
      <c r="G40" s="421" t="s">
        <v>46</v>
      </c>
      <c r="H40" s="421"/>
      <c r="I40" s="421"/>
    </row>
    <row r="41" ht="78" customHeight="1">
      <c r="A41" s="385"/>
      <c r="B41" s="424" t="s">
        <v>47</v>
      </c>
      <c r="C41" s="424"/>
      <c r="D41" s="424"/>
      <c r="E41" s="424"/>
      <c r="F41" s="425"/>
      <c r="G41" s="424" t="s">
        <v>48</v>
      </c>
      <c r="H41" s="424"/>
      <c r="I41" s="424"/>
    </row>
    <row r="42" ht="4.5" customHeight="1">
      <c r="A42" s="385"/>
      <c r="B42" s="388"/>
      <c r="C42" s="388"/>
      <c r="D42" s="388"/>
      <c r="E42" s="388"/>
      <c r="F42" s="388"/>
      <c r="G42" s="388"/>
      <c r="H42" s="388"/>
      <c r="I42" s="388"/>
    </row>
    <row r="43">
      <c r="A43" s="385"/>
      <c r="B43" s="421" t="s">
        <v>49</v>
      </c>
      <c r="C43" s="421"/>
      <c r="D43" s="421"/>
      <c r="E43" s="421"/>
      <c r="F43" s="385"/>
      <c r="G43" s="421" t="s">
        <v>50</v>
      </c>
      <c r="H43" s="421"/>
      <c r="I43" s="421"/>
    </row>
    <row r="44" ht="78" customHeight="1">
      <c r="A44" s="385"/>
      <c r="B44" s="424" t="s">
        <v>51</v>
      </c>
      <c r="C44" s="424"/>
      <c r="D44" s="424"/>
      <c r="E44" s="424"/>
      <c r="F44" s="425"/>
      <c r="G44" s="426" t="s">
        <v>52</v>
      </c>
      <c r="H44" s="426"/>
      <c r="I44" s="426"/>
    </row>
    <row r="45">
      <c r="A45" s="385"/>
      <c r="B45" s="385"/>
      <c r="C45" s="385"/>
      <c r="D45" s="385"/>
      <c r="E45" s="385"/>
      <c r="F45" s="385"/>
      <c r="G45" s="385"/>
      <c r="H45" s="385"/>
      <c r="I45" s="385"/>
    </row>
    <row r="46">
      <c r="A46" s="385"/>
      <c r="B46" s="427"/>
      <c r="C46" s="427"/>
      <c r="D46" s="427"/>
      <c r="E46" s="427"/>
      <c r="F46" s="427"/>
      <c r="G46" s="427"/>
      <c r="H46" s="427"/>
      <c r="I46" s="427"/>
    </row>
    <row r="47">
      <c r="A47" s="385"/>
      <c r="B47" s="427" t="s">
        <v>53</v>
      </c>
      <c r="C47" s="427"/>
      <c r="D47" s="427"/>
      <c r="E47" s="427"/>
      <c r="F47" s="427"/>
      <c r="G47" s="427"/>
      <c r="H47" s="427"/>
      <c r="I47" s="427"/>
    </row>
    <row r="48" ht="3" customHeight="1">
      <c r="A48" s="385"/>
      <c r="B48" s="385"/>
      <c r="C48" s="385"/>
      <c r="D48" s="385"/>
      <c r="E48" s="385"/>
      <c r="F48" s="385"/>
      <c r="G48" s="385"/>
      <c r="H48" s="385"/>
      <c r="I48" s="385"/>
    </row>
    <row r="49" ht="30" customHeight="1">
      <c r="A49" s="385"/>
      <c r="B49" s="428" t="s">
        <v>54</v>
      </c>
      <c r="C49" s="428"/>
      <c r="D49" s="428"/>
      <c r="E49" s="428"/>
      <c r="F49" s="428"/>
      <c r="G49" s="428"/>
      <c r="H49" s="385"/>
      <c r="I49" s="385"/>
    </row>
    <row r="50" ht="16.5" customHeight="1">
      <c r="A50" s="385"/>
      <c r="B50" s="343" t="str">
        <f>'Ficha Técnica'!D8</f>
        <v>Molho Vegano de Mostarda e Açafrão</v>
      </c>
      <c r="C50" s="343"/>
      <c r="D50" s="343"/>
      <c r="E50" s="343"/>
      <c r="F50" s="343"/>
      <c r="G50" s="343"/>
      <c r="H50" s="385"/>
      <c r="I50" s="385"/>
    </row>
    <row r="51" ht="4.5" customHeight="1">
      <c r="A51" s="385"/>
      <c r="B51" s="396"/>
      <c r="C51" s="397"/>
      <c r="D51" s="397"/>
      <c r="E51" s="397"/>
      <c r="F51" s="397"/>
      <c r="G51" s="397"/>
      <c r="H51" s="397"/>
      <c r="I51" s="397"/>
    </row>
    <row r="52" ht="16.5" customHeight="1">
      <c r="A52" s="385"/>
      <c r="B52" s="396"/>
      <c r="C52" s="398" t="s">
        <v>12</v>
      </c>
      <c r="D52" s="398"/>
      <c r="E52" s="398"/>
      <c r="F52" s="398"/>
      <c r="G52" s="398"/>
      <c r="H52" s="398"/>
      <c r="I52" s="398"/>
    </row>
    <row r="53" ht="22.5" customHeight="1">
      <c r="A53" s="385"/>
      <c r="B53" s="396"/>
      <c r="C53" s="399" t="s">
        <v>13</v>
      </c>
      <c r="D53" s="399"/>
      <c r="E53" s="399"/>
      <c r="F53" s="399"/>
      <c r="G53" s="399"/>
      <c r="H53" s="399"/>
      <c r="I53" s="399"/>
    </row>
    <row r="54" ht="4.5" customHeight="1">
      <c r="A54" s="385"/>
      <c r="B54" s="396"/>
      <c r="C54" s="397"/>
      <c r="D54" s="397"/>
      <c r="E54" s="397"/>
      <c r="F54" s="397"/>
      <c r="G54" s="397"/>
      <c r="H54" s="397"/>
      <c r="I54" s="397"/>
    </row>
    <row r="55" ht="6" customHeight="1">
      <c r="A55" s="385"/>
      <c r="B55" s="385"/>
      <c r="C55" s="385"/>
      <c r="D55" s="385"/>
      <c r="E55" s="385"/>
      <c r="F55" s="385"/>
      <c r="G55" s="385"/>
      <c r="H55" s="385"/>
      <c r="I55" s="385"/>
    </row>
    <row r="56">
      <c r="A56" s="385"/>
      <c r="B56" s="421" t="s">
        <v>55</v>
      </c>
      <c r="C56" s="421"/>
      <c r="D56" s="421"/>
      <c r="E56" s="421"/>
      <c r="F56" s="421"/>
      <c r="G56" s="421"/>
      <c r="H56" s="421"/>
      <c r="I56" s="421"/>
    </row>
    <row r="57" ht="19.5" customHeight="1">
      <c r="A57" s="385"/>
      <c r="B57" s="400" t="s">
        <v>14</v>
      </c>
      <c r="C57" s="400" t="s">
        <v>56</v>
      </c>
      <c r="D57" s="400" t="s">
        <v>57</v>
      </c>
      <c r="E57" s="400"/>
      <c r="F57" s="400" t="s">
        <v>58</v>
      </c>
      <c r="G57" s="400" t="s">
        <v>59</v>
      </c>
      <c r="H57" s="400" t="s">
        <v>60</v>
      </c>
      <c r="I57" s="400" t="s">
        <v>20</v>
      </c>
    </row>
    <row r="58" ht="12" customHeight="1">
      <c r="A58" s="385"/>
      <c r="B58" s="310">
        <v>1</v>
      </c>
      <c r="C58" s="251" t="str">
        <f>Custos!C15</f>
        <v>Azeite extravirgem</v>
      </c>
      <c r="D58" s="252" t="str">
        <f>IF(Custos!F15="","",Custos!F15&amp;" "&amp;Custos!G15)</f>
        <v/>
      </c>
      <c r="E58" s="252"/>
      <c r="F58" s="271" t="str">
        <f>IF(Custos!H15="",IF(Custos!C15="","",IF(Custos!E15="a gosto (fora da conta)","a gosto","falta")),Custos!H15)</f>
        <v>falta</v>
      </c>
      <c r="G58" s="344">
        <f>IF(Custos!J15="","",Custos!J15)</f>
        <v>60</v>
      </c>
      <c r="H58" s="275" t="str">
        <f>IF(Custos!M15="","",Custos!M15)</f>
        <v/>
      </c>
      <c r="I58" s="313" t="str">
        <f>IF(Custos!L15="","",Custos!L15)</f>
        <v/>
      </c>
    </row>
    <row r="59" ht="12" customHeight="1">
      <c r="A59" s="385"/>
      <c r="B59" s="311">
        <v>2</v>
      </c>
      <c r="C59" s="253" t="str">
        <f>Custos!C16</f>
        <v>Suco de limão</v>
      </c>
      <c r="D59" s="254" t="str">
        <f>IF(Custos!F16="","",Custos!F16&amp;" "&amp;Custos!G16)</f>
        <v/>
      </c>
      <c r="E59" s="254"/>
      <c r="F59" s="272" t="str">
        <f>IF(Custos!H16="",IF(Custos!C16="","",IF(Custos!E16="a gosto (fora da conta)","a gosto","falta")),Custos!H16)</f>
        <v>falta</v>
      </c>
      <c r="G59" s="345">
        <f>IF(Custos!J16="","",Custos!J16)</f>
        <v>30</v>
      </c>
      <c r="H59" s="276" t="str">
        <f>IF(Custos!M16="","",Custos!M16)</f>
        <v/>
      </c>
      <c r="I59" s="314" t="str">
        <f>IF(Custos!L16="","",Custos!L16)</f>
        <v/>
      </c>
    </row>
    <row r="60" ht="12" customHeight="1">
      <c r="A60" s="385"/>
      <c r="B60" s="311">
        <v>3</v>
      </c>
      <c r="C60" s="253" t="str">
        <f>Custos!C17</f>
        <v>Mostarda amarela pronta</v>
      </c>
      <c r="D60" s="254" t="str">
        <f>IF(Custos!F17="","",Custos!F17&amp;" "&amp;Custos!G17)</f>
        <v/>
      </c>
      <c r="E60" s="254"/>
      <c r="F60" s="272" t="str">
        <f>IF(Custos!H17="",IF(Custos!C17="","",IF(Custos!E17="a gosto (fora da conta)","a gosto","falta")),Custos!H17)</f>
        <v>falta</v>
      </c>
      <c r="G60" s="345">
        <f>IF(Custos!J17="","",Custos!J17)</f>
        <v>30</v>
      </c>
      <c r="H60" s="276" t="str">
        <f>IF(Custos!M17="","",Custos!M17)</f>
        <v/>
      </c>
      <c r="I60" s="314" t="str">
        <f>IF(Custos!L17="","",Custos!L17)</f>
        <v/>
      </c>
    </row>
    <row r="61" ht="12" customHeight="1">
      <c r="A61" s="385"/>
      <c r="B61" s="311">
        <v>4</v>
      </c>
      <c r="C61" s="253" t="str">
        <f>Custos!C18</f>
        <v>Cúrcuma Açafrão-da-terra PQ</v>
      </c>
      <c r="D61" s="254" t="str">
        <f>IF(Custos!F18="","",Custos!F18&amp;" "&amp;Custos!G18)</f>
        <v/>
      </c>
      <c r="E61" s="254"/>
      <c r="F61" s="272" t="str">
        <f>IF(Custos!H18="",IF(Custos!C18="","",IF(Custos!E18="a gosto (fora da conta)","a gosto","falta")),Custos!H18)</f>
        <v>falta</v>
      </c>
      <c r="G61" s="345">
        <f>IF(Custos!J18="","",Custos!J18)</f>
        <v>1</v>
      </c>
      <c r="H61" s="276" t="str">
        <f>IF(Custos!M18="","",Custos!M18)</f>
        <v/>
      </c>
      <c r="I61" s="314" t="str">
        <f>IF(Custos!L18="","",Custos!L18)</f>
        <v/>
      </c>
    </row>
    <row r="62" ht="12" customHeight="1">
      <c r="A62" s="385"/>
      <c r="B62" s="311">
        <v>5</v>
      </c>
      <c r="C62" s="253" t="str">
        <f>Custos!C19</f>
        <v>Sal</v>
      </c>
      <c r="D62" s="254" t="str">
        <f>IF(Custos!F19="","",Custos!F19&amp;" "&amp;Custos!G19)</f>
        <v/>
      </c>
      <c r="E62" s="254"/>
      <c r="F62" s="272" t="str">
        <f>IF(Custos!H19="",IF(Custos!C19="","",IF(Custos!E19="a gosto (fora da conta)","a gosto","falta")),Custos!H19)</f>
        <v>falta</v>
      </c>
      <c r="G62" s="345">
        <f>IF(Custos!J19="","",Custos!J19)</f>
        <v>1</v>
      </c>
      <c r="H62" s="276" t="str">
        <f>IF(Custos!M19="","",Custos!M19)</f>
        <v/>
      </c>
      <c r="I62" s="314" t="str">
        <f>IF(Custos!L19="","",Custos!L19)</f>
        <v/>
      </c>
    </row>
    <row r="63" ht="12" customHeight="1">
      <c r="A63" s="385"/>
      <c r="B63" s="311">
        <v>6</v>
      </c>
      <c r="C63" s="253" t="str">
        <f>Custos!C20</f>
        <v/>
      </c>
      <c r="D63" s="254" t="str">
        <f>IF(Custos!F20="","",Custos!F20&amp;" "&amp;Custos!G20)</f>
        <v/>
      </c>
      <c r="E63" s="254"/>
      <c r="F63" s="272" t="str">
        <f>IF(Custos!H20="",IF(Custos!C20="","",IF(Custos!E20="a gosto (fora da conta)","a gosto","falta")),Custos!H20)</f>
        <v/>
      </c>
      <c r="G63" s="345" t="str">
        <f>IF(Custos!J20="","",Custos!J20)</f>
        <v/>
      </c>
      <c r="H63" s="276" t="str">
        <f>IF(Custos!M20="","",Custos!M20)</f>
        <v/>
      </c>
      <c r="I63" s="314" t="str">
        <f>IF(Custos!L20="","",Custos!L20)</f>
        <v/>
      </c>
    </row>
    <row r="64" ht="12" customHeight="1">
      <c r="A64" s="385"/>
      <c r="B64" s="311">
        <v>7</v>
      </c>
      <c r="C64" s="253" t="str">
        <f>Custos!C21</f>
        <v/>
      </c>
      <c r="D64" s="254" t="str">
        <f>IF(Custos!F21="","",Custos!F21&amp;" "&amp;Custos!G21)</f>
        <v/>
      </c>
      <c r="E64" s="254"/>
      <c r="F64" s="272" t="str">
        <f>IF(Custos!H21="",IF(Custos!C21="","",IF(Custos!E21="a gosto (fora da conta)","a gosto","falta")),Custos!H21)</f>
        <v/>
      </c>
      <c r="G64" s="345" t="str">
        <f>IF(Custos!J21="","",Custos!J21)</f>
        <v/>
      </c>
      <c r="H64" s="276" t="str">
        <f>IF(Custos!M21="","",Custos!M21)</f>
        <v/>
      </c>
      <c r="I64" s="314" t="str">
        <f>IF(Custos!L21="","",Custos!L21)</f>
        <v/>
      </c>
    </row>
    <row r="65" ht="12" customHeight="1">
      <c r="A65" s="385"/>
      <c r="B65" s="311">
        <v>8</v>
      </c>
      <c r="C65" s="253" t="str">
        <f>Custos!C22</f>
        <v/>
      </c>
      <c r="D65" s="254" t="str">
        <f>IF(Custos!F22="","",Custos!F22&amp;" "&amp;Custos!G22)</f>
        <v/>
      </c>
      <c r="E65" s="254"/>
      <c r="F65" s="272" t="str">
        <f>IF(Custos!H22="",IF(Custos!C22="","",IF(Custos!E22="a gosto (fora da conta)","a gosto","falta")),Custos!H22)</f>
        <v/>
      </c>
      <c r="G65" s="345" t="str">
        <f>IF(Custos!J22="","",Custos!J22)</f>
        <v/>
      </c>
      <c r="H65" s="276" t="str">
        <f>IF(Custos!M22="","",Custos!M22)</f>
        <v/>
      </c>
      <c r="I65" s="314" t="str">
        <f>IF(Custos!L22="","",Custos!L22)</f>
        <v/>
      </c>
    </row>
    <row r="66">
      <c r="A66" s="385"/>
      <c r="B66" s="385"/>
      <c r="C66" s="385"/>
      <c r="D66" s="385"/>
      <c r="E66" s="385"/>
      <c r="F66" s="385"/>
      <c r="G66" s="385"/>
      <c r="H66" s="385"/>
      <c r="I66" s="385"/>
    </row>
    <row r="67">
      <c r="A67" s="385"/>
      <c r="B67" s="421" t="s">
        <v>61</v>
      </c>
      <c r="C67" s="421"/>
      <c r="D67" s="421"/>
      <c r="E67" s="421"/>
      <c r="F67" s="385"/>
      <c r="G67" s="421" t="s">
        <v>62</v>
      </c>
      <c r="H67" s="421"/>
      <c r="I67" s="421"/>
    </row>
    <row r="68" ht="14.25" customHeight="1">
      <c r="A68" s="385"/>
      <c r="B68" s="438" t="s">
        <v>63</v>
      </c>
      <c r="C68" s="438"/>
      <c r="D68" s="177">
        <f>CustoIngredientes</f>
        <v>0</v>
      </c>
      <c r="E68" s="178"/>
      <c r="F68" s="385"/>
      <c r="G68" s="205" t="str">
        <f>IFERROR(INDEX($C$58:$C$65,MATCH(LARGE($I$58:$I$65,1),$I$58:$I$65,0)),"")</f>
        <v/>
      </c>
      <c r="H68" s="205"/>
      <c r="I68" s="205"/>
    </row>
    <row r="69" ht="14.25" customHeight="1">
      <c r="A69" s="385"/>
      <c r="B69" s="438" t="s">
        <v>64</v>
      </c>
      <c r="C69" s="438"/>
      <c r="D69" s="177" t="str">
        <f>CustoIngrPorcao</f>
        <v/>
      </c>
      <c r="E69" s="178"/>
      <c r="F69" s="385"/>
      <c r="G69" s="375" t="str">
        <f>IFERROR(LARGE($I$58:$I$65,1),"")</f>
        <v/>
      </c>
      <c r="H69" s="373" t="str">
        <f>IFERROR(LARGE($I$58:$I$65,1)/SUM($I$58:$I$65),"")</f>
        <v/>
      </c>
      <c r="I69" s="195"/>
    </row>
    <row r="70" ht="14.25" customHeight="1">
      <c r="A70" s="385"/>
      <c r="B70" s="438" t="s">
        <v>65</v>
      </c>
      <c r="C70" s="438"/>
      <c r="D70" s="177" t="str">
        <f>PerdasPorcao</f>
        <v/>
      </c>
      <c r="E70" s="178"/>
      <c r="F70" s="385"/>
    </row>
    <row r="71" ht="14.25" customHeight="1">
      <c r="A71" s="385"/>
      <c r="B71" s="438" t="s">
        <v>66</v>
      </c>
      <c r="C71" s="438"/>
      <c r="D71" s="177" t="str">
        <f>EmbalagemPorcao</f>
        <v/>
      </c>
      <c r="E71" s="178"/>
      <c r="F71" s="385"/>
      <c r="G71" s="205" t="str">
        <f>IFERROR(INDEX($C$58:$C$65,MATCH(LARGE($I$58:$I$65,2),$I$58:$I$65,0)),"")</f>
        <v/>
      </c>
      <c r="H71" s="205"/>
      <c r="I71" s="205"/>
    </row>
    <row r="72" ht="21" customHeight="1">
      <c r="A72" s="385"/>
      <c r="B72" s="445" t="s">
        <v>67</v>
      </c>
      <c r="C72" s="445"/>
      <c r="D72" s="95" t="str">
        <f>CustoTotalPorcao</f>
        <v/>
      </c>
      <c r="E72" s="362"/>
      <c r="F72" s="385"/>
      <c r="G72" s="375" t="str">
        <f>IFERROR(LARGE($I$58:$I$65,2),"")</f>
        <v/>
      </c>
      <c r="H72" s="373" t="str">
        <f>IFERROR(LARGE($I$58:$I$65,2)/SUM($I$58:$I$65),"")</f>
        <v/>
      </c>
      <c r="I72" s="195"/>
    </row>
    <row r="73" ht="14.25" customHeight="1">
      <c r="A73" s="385"/>
      <c r="B73" s="438" t="s">
        <v>68</v>
      </c>
      <c r="C73" s="438"/>
      <c r="D73" s="351">
        <f>IF(N(CMVDesejado)&gt;0,CMVDesejado,"")</f>
        <v>0.3</v>
      </c>
      <c r="E73" s="178"/>
      <c r="F73" s="385"/>
    </row>
    <row r="74" ht="14.25" customHeight="1">
      <c r="A74" s="385"/>
      <c r="B74" s="441" t="s">
        <v>69</v>
      </c>
      <c r="C74" s="441"/>
      <c r="D74" s="206" t="str">
        <f>PrecoSugerido</f>
        <v/>
      </c>
      <c r="E74" s="207"/>
      <c r="F74" s="385"/>
      <c r="G74" s="205" t="str">
        <f>IFERROR(INDEX($C$58:$C$65,MATCH(LARGE($I$58:$I$65,3),$I$58:$I$65,0)),"")</f>
        <v/>
      </c>
      <c r="H74" s="205"/>
      <c r="I74" s="205"/>
    </row>
    <row r="75" ht="14.25" customHeight="1">
      <c r="A75" s="385"/>
      <c r="B75" s="438" t="s">
        <v>70</v>
      </c>
      <c r="C75" s="438"/>
      <c r="D75" s="177" t="str">
        <f>LucroPorcao</f>
        <v/>
      </c>
      <c r="E75" s="178"/>
      <c r="F75" s="385"/>
      <c r="G75" s="375" t="str">
        <f>IFERROR(LARGE($I$58:$I$65,3),"")</f>
        <v/>
      </c>
      <c r="H75" s="373" t="str">
        <f>IFERROR(LARGE($I$58:$I$65,3)/SUM($I$58:$I$65),"")</f>
        <v/>
      </c>
      <c r="I75" s="195"/>
    </row>
    <row r="76" ht="14.25" customHeight="1">
      <c r="A76" s="385"/>
      <c r="B76" s="441" t="s">
        <v>71</v>
      </c>
      <c r="C76" s="441"/>
      <c r="D76" s="206" t="str">
        <f>IF(PrecoNegocio="","–",PrecoNegocio)</f>
        <v>–</v>
      </c>
      <c r="E76" s="207"/>
      <c r="F76" s="385"/>
      <c r="G76" s="385"/>
      <c r="H76" s="385"/>
      <c r="I76" s="385"/>
    </row>
    <row r="77" ht="14.25" customHeight="1">
      <c r="A77" s="385"/>
      <c r="B77" s="451" t="s">
        <v>72</v>
      </c>
      <c r="C77" s="451"/>
      <c r="D77" s="209">
        <f>RendimentoReceita</f>
        <v>4</v>
      </c>
      <c r="E77" s="210"/>
      <c r="F77" s="385"/>
      <c r="G77" s="454" t="s">
        <v>73</v>
      </c>
      <c r="H77" s="454"/>
      <c r="I77" s="454"/>
    </row>
    <row r="78" ht="14.25" customHeight="1">
      <c r="A78" s="385"/>
      <c r="B78" s="444" t="s">
        <v>74</v>
      </c>
      <c r="C78" s="444"/>
      <c r="D78" s="198" t="str">
        <f>Faturamento</f>
        <v/>
      </c>
      <c r="E78" s="197"/>
      <c r="F78" s="385"/>
      <c r="G78" s="454"/>
      <c r="H78" s="454"/>
      <c r="I78" s="454"/>
    </row>
    <row r="79" ht="14.25" customHeight="1">
      <c r="A79" s="385"/>
      <c r="B79" s="444" t="s">
        <v>75</v>
      </c>
      <c r="C79" s="444"/>
      <c r="D79" s="198" t="str">
        <f>CustoReceita</f>
        <v/>
      </c>
      <c r="E79" s="197"/>
      <c r="F79" s="385"/>
      <c r="G79" s="454"/>
      <c r="H79" s="454"/>
      <c r="I79" s="454"/>
    </row>
    <row r="80" ht="18" customHeight="1">
      <c r="A80" s="385"/>
      <c r="B80" s="457" t="s">
        <v>76</v>
      </c>
      <c r="C80" s="457"/>
      <c r="D80" s="356" t="str">
        <f>LucroReceita</f>
        <v/>
      </c>
      <c r="E80" s="357"/>
      <c r="F80" s="385"/>
      <c r="G80" s="385"/>
      <c r="H80" s="385"/>
      <c r="I80" s="385"/>
    </row>
    <row r="81">
      <c r="A81" s="385"/>
      <c r="B81" s="385"/>
      <c r="C81" s="385"/>
      <c r="D81" s="385"/>
      <c r="E81" s="385"/>
      <c r="F81" s="385"/>
      <c r="G81" s="385"/>
      <c r="H81" s="385"/>
      <c r="I81" s="385"/>
    </row>
    <row r="82" ht="36" customHeight="1">
      <c r="A82" s="385"/>
      <c r="B82" s="460" t="s">
        <v>77</v>
      </c>
      <c r="C82" s="460"/>
      <c r="D82" s="460"/>
      <c r="E82" s="460"/>
      <c r="F82" s="460"/>
      <c r="G82" s="460"/>
      <c r="H82" s="460"/>
      <c r="I82" s="460"/>
    </row>
    <row r="83">
      <c r="A83" s="385"/>
      <c r="B83" s="427" t="s">
        <v>78</v>
      </c>
      <c r="C83" s="427"/>
      <c r="D83" s="427"/>
      <c r="E83" s="427"/>
      <c r="F83" s="427"/>
      <c r="G83" s="427"/>
      <c r="H83" s="427"/>
      <c r="I83" s="427"/>
    </row>
  </sheetData>
  <sheetProtection sheet="1" objects="1" scenarios="1" formatColumns="0" formatRows="0"/>
  <mergeCells count="86">
    <mergeCell ref="E2:I3"/>
    <mergeCell ref="E4:I4"/>
    <mergeCell ref="B8:C8"/>
    <mergeCell ref="D8:I8"/>
    <mergeCell ref="B9:C9"/>
    <mergeCell ref="D9:G9"/>
    <mergeCell ref="B10:C10"/>
    <mergeCell ref="D10:G10"/>
    <mergeCell ref="B11:C11"/>
    <mergeCell ref="D11:G11"/>
    <mergeCell ref="B12:C12"/>
    <mergeCell ref="D12:G12"/>
    <mergeCell ref="B13:C13"/>
    <mergeCell ref="D13:G13"/>
    <mergeCell ref="H9:I13"/>
    <mergeCell ref="B14:B17"/>
    <mergeCell ref="C15:I15"/>
    <mergeCell ref="C16:I16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B32:I32"/>
    <mergeCell ref="C35:I35"/>
    <mergeCell ref="C36:I36"/>
    <mergeCell ref="C37:I37"/>
    <mergeCell ref="C38:I38"/>
    <mergeCell ref="B41:E41"/>
    <mergeCell ref="G41:I41"/>
    <mergeCell ref="B44:E44"/>
    <mergeCell ref="G44:I44"/>
    <mergeCell ref="B47:I47"/>
    <mergeCell ref="B49:G49"/>
    <mergeCell ref="B50:G50"/>
    <mergeCell ref="B51:B54"/>
    <mergeCell ref="C52:I52"/>
    <mergeCell ref="C53:I53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G68:I68"/>
    <mergeCell ref="H69:I69"/>
    <mergeCell ref="G71:I71"/>
    <mergeCell ref="H72:I72"/>
    <mergeCell ref="G74:I74"/>
    <mergeCell ref="H75:I75"/>
    <mergeCell ref="G77:I79"/>
    <mergeCell ref="B82:I82"/>
    <mergeCell ref="B83:I83"/>
  </mergeCells>
  <conditionalFormatting sqref="G74">
    <cfRule type="expression" dxfId="0" priority="1">
      <formula>COUNTIFS('Ficha Técnica'!$C$19:$C$26,G74,'Ficha Técnica'!$D$19:$D$26,"Sim")&gt;0</formula>
    </cfRule>
  </conditionalFormatting>
  <conditionalFormatting sqref="G71">
    <cfRule type="expression" dxfId="0" priority="2">
      <formula>COUNTIFS('Ficha Técnica'!$C$19:$C$26,G71,'Ficha Técnica'!$D$19:$D$26,"Sim")&gt;0</formula>
    </cfRule>
  </conditionalFormatting>
  <conditionalFormatting sqref="G68">
    <cfRule type="expression" dxfId="0" priority="3">
      <formula>COUNTIFS('Ficha Técnica'!$C$19:$C$26,G68,'Ficha Técnica'!$D$19:$D$26,"Sim")&gt;0</formula>
    </cfRule>
  </conditionalFormatting>
  <conditionalFormatting sqref="C58:C65">
    <cfRule type="expression" dxfId="0" priority="4">
      <formula>$D19="Sim"</formula>
    </cfRule>
  </conditionalFormatting>
  <conditionalFormatting sqref="F58:F65">
    <cfRule type="expression" dxfId="1" priority="5">
      <formula>$F58="falta"</formula>
    </cfRule>
  </conditionalFormatting>
  <conditionalFormatting sqref="H58:H65">
    <cfRule type="dataBar" priority="6">
      <dataBar>
        <cfvo type="min"/>
        <cfvo type="max"/>
        <color rgb="FF0D6EB0"/>
      </dataBar>
    </cfRule>
  </conditionalFormatting>
  <conditionalFormatting sqref="C19:C26">
    <cfRule type="expression" dxfId="0" priority="7">
      <formula>$D19="Sim"</formula>
    </cfRule>
  </conditionalFormatting>
  <dataValidations count="3">
    <dataValidation type="list" allowBlank="1" showInputMessage="1" showErrorMessage="1" sqref="D9">
      <formula1>"Bolinho,Snack,Petisco,Entrada,Prato principal,Acompanhamento,Molho,Massa,Sopa,Salada,Lanche,Sobremesa,Pão,Bebida,Outro"</formula1>
    </dataValidation>
    <dataValidation type="list" allowBlank="1" showInputMessage="1" showErrorMessage="1" sqref="D19:D26">
      <formula1>"Sim,Não"</formula1>
    </dataValidation>
    <dataValidation type="list" allowBlank="1" showInputMessage="1" showErrorMessage="1" sqref="F19:F26">
      <formula1>"g,kg,ml,L,un"</formula1>
    </dataValidation>
  </dataValidations>
  <pageMargins left="0.25" right="0.25" top="0.75" bottom="0.75" header="0.30000001192092896" footer="0.30000001192092896"/>
  <pageSetup paperSize="9" scale="89" orientation="portrait"/>
  <rowBreaks count="1" manualBreakCount="1">
    <brk id="41" max="16383" man="1"/>
  </rowBreaks>
  <drawing r:id="rId1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1:O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3.140625" customWidth="1"/>
    <col min="3" max="3" width="22.8515625" customWidth="1"/>
    <col min="4" max="4" width="8.57421875" customWidth="1"/>
    <col min="5" max="5" width="14.8515625" customWidth="1"/>
    <col min="6" max="6" width="8.8515625" customWidth="1"/>
    <col min="7" max="7" width="6.57421875" customWidth="1"/>
    <col min="8" max="8" width="10.28125" customWidth="1"/>
    <col min="9" max="9" width="8.28125" customWidth="1"/>
    <col min="10" max="10" width="8.8515625" customWidth="1"/>
    <col min="11" max="11" width="9.421875" customWidth="1"/>
    <col min="12" max="12" width="10.28125" customWidth="1"/>
    <col min="13" max="13" width="6.28125" customWidth="1"/>
    <col min="14" max="14" width="14.8515625" customWidth="1"/>
    <col min="15" max="15" width="8.57421875" hidden="1" customWidth="1"/>
  </cols>
  <sheetData>
    <row r="1" ht="4.5" customHeight="1">
      <c r="B1" s="117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</row>
    <row r="2" ht="16.5" customHeight="1">
      <c r="B2" s="117"/>
      <c r="C2" s="123" t="s">
        <v>12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</row>
    <row r="3" ht="22.5" customHeight="1">
      <c r="B3" s="117"/>
      <c r="C3" s="129" t="s">
        <v>13</v>
      </c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</row>
    <row r="4" ht="4.5" customHeight="1">
      <c r="B4" s="117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</row>
    <row r="5" ht="7.5" customHeight="1"/>
    <row r="6" ht="21" customHeight="1">
      <c r="B6" s="4" t="s">
        <v>79</v>
      </c>
      <c r="C6" s="4"/>
      <c r="D6" s="4"/>
      <c r="E6" s="4"/>
      <c r="F6" s="4"/>
      <c r="G6" s="4"/>
      <c r="H6" s="4"/>
      <c r="J6" s="133" t="s">
        <v>80</v>
      </c>
      <c r="K6" s="134"/>
      <c r="L6" s="134"/>
      <c r="M6" s="134"/>
      <c r="N6" s="135"/>
    </row>
    <row r="7">
      <c r="B7" s="6" t="str">
        <f>'Ficha Técnica'!D8</f>
        <v>Molho Vegano de Mostarda e Açafrão</v>
      </c>
      <c r="C7" s="6"/>
      <c r="D7" s="6"/>
      <c r="E7" s="6"/>
      <c r="F7" s="6"/>
      <c r="G7" s="6"/>
      <c r="H7" s="6"/>
      <c r="J7" s="139" t="s">
        <v>81</v>
      </c>
      <c r="K7" s="139"/>
      <c r="L7" s="139"/>
      <c r="M7" s="139"/>
      <c r="N7" s="139"/>
    </row>
    <row r="8" ht="7.5" customHeight="1"/>
    <row r="9" ht="13.5" customHeight="1">
      <c r="B9" s="212" t="s">
        <v>67</v>
      </c>
      <c r="C9" s="212"/>
      <c r="D9" s="226" t="s">
        <v>82</v>
      </c>
      <c r="E9" s="226"/>
      <c r="F9" s="226" t="s">
        <v>71</v>
      </c>
      <c r="G9" s="226"/>
      <c r="H9" s="226"/>
      <c r="I9" s="226" t="s">
        <v>83</v>
      </c>
      <c r="J9" s="226"/>
      <c r="K9" s="226"/>
      <c r="L9" s="226"/>
      <c r="M9" s="226" t="s">
        <v>84</v>
      </c>
      <c r="N9" s="226"/>
      <c r="O9" s="226"/>
    </row>
    <row r="10" ht="24" customHeight="1">
      <c r="B10" s="222" t="str">
        <f>CustoTotalPorcao</f>
        <v/>
      </c>
      <c r="C10" s="223"/>
      <c r="D10" s="233" t="str">
        <f>PrecoSugerido</f>
        <v/>
      </c>
      <c r="E10" s="234"/>
      <c r="F10" s="233" t="str">
        <f>IF(PrecoNegocio="","aba Meu negócio",PrecoNegocio)</f>
        <v>aba Meu negócio</v>
      </c>
      <c r="G10" s="234"/>
      <c r="H10" s="234"/>
      <c r="I10" s="233" t="str">
        <f>LucroReceita</f>
        <v/>
      </c>
      <c r="J10" s="234"/>
      <c r="K10" s="234"/>
      <c r="L10" s="234"/>
      <c r="M10" s="234" t="str">
        <f>SUMPRODUCT((C15:C22&lt;&gt;"")*(E15:E22&lt;&gt;"a gosto (fora da conta)")*(H15:H22&lt;&gt;""))&amp;" de "&amp;SUMPRODUCT((C15:C22&lt;&gt;"")*(E15:E22&lt;&gt;"a gosto (fora da conta)"))</f>
        <v>0 de 5</v>
      </c>
      <c r="N10" s="234"/>
      <c r="O10" s="234"/>
    </row>
    <row r="11" ht="9" customHeight="1"/>
    <row r="12" ht="22.5" customHeight="1">
      <c r="B12" s="235" t="s">
        <v>85</v>
      </c>
      <c r="C12" s="235"/>
      <c r="D12" s="235"/>
      <c r="E12" s="235"/>
      <c r="F12" s="239" t="s">
        <v>86</v>
      </c>
      <c r="G12" s="239"/>
      <c r="H12" s="239"/>
      <c r="I12" s="239"/>
      <c r="J12" s="239"/>
      <c r="K12" s="239"/>
      <c r="L12" s="239"/>
      <c r="M12" s="239"/>
      <c r="N12" s="239"/>
    </row>
    <row r="13" ht="12" customHeight="1">
      <c r="B13" s="243" t="s">
        <v>87</v>
      </c>
      <c r="C13" s="243"/>
      <c r="D13" s="243"/>
      <c r="E13" s="243"/>
      <c r="F13" s="247" t="s">
        <v>88</v>
      </c>
      <c r="G13" s="247"/>
      <c r="H13" s="247"/>
      <c r="I13" s="247"/>
      <c r="J13" s="248" t="s">
        <v>89</v>
      </c>
      <c r="K13" s="248"/>
      <c r="L13" s="248"/>
      <c r="M13" s="248"/>
      <c r="N13" s="248"/>
      <c r="O13" s="243" t="s">
        <v>90</v>
      </c>
    </row>
    <row r="14" ht="34.5" customHeight="1">
      <c r="B14" s="249" t="s">
        <v>14</v>
      </c>
      <c r="C14" s="249" t="s">
        <v>56</v>
      </c>
      <c r="D14" s="249" t="s">
        <v>91</v>
      </c>
      <c r="E14" s="249" t="s">
        <v>92</v>
      </c>
      <c r="F14" s="249" t="s">
        <v>93</v>
      </c>
      <c r="G14" s="249" t="s">
        <v>94</v>
      </c>
      <c r="H14" s="249" t="s">
        <v>95</v>
      </c>
      <c r="I14" s="249" t="s">
        <v>96</v>
      </c>
      <c r="J14" s="249" t="s">
        <v>97</v>
      </c>
      <c r="K14" s="249" t="s">
        <v>98</v>
      </c>
      <c r="L14" s="249" t="s">
        <v>99</v>
      </c>
      <c r="M14" s="249" t="s">
        <v>60</v>
      </c>
      <c r="N14" s="249" t="s">
        <v>100</v>
      </c>
      <c r="O14" s="249" t="s">
        <v>101</v>
      </c>
    </row>
    <row r="15" ht="12.75" customHeight="1">
      <c r="B15" s="251">
        <v>1</v>
      </c>
      <c r="C15" s="251" t="str">
        <f>IF('Ficha Técnica'!C19="","",'Ficha Técnica'!C19)</f>
        <v>Azeite extravirgem</v>
      </c>
      <c r="D15" s="263" cm="1">
        <f t="array" ref="D15">IF(C15="","",IF(N('Ficha Técnica'!E19)&gt;0,'Ficha Técnica'!E19*IF('Ficha Técnica'!F19="",1,IFERROR(INDEX({1,1000,1,1000,1},MATCH('Ficha Técnica'!F19,{"g","kg","ml","L","un"},0)),"")),""))</f>
        <v>60</v>
      </c>
      <c r="E15" s="252" t="str">
        <f>IF(C15="","",IF(LOWER('Ficha Técnica'!E19)="qb","a gosto (fora da conta)",IF(N('Ficha Técnica'!E19)&gt;0,IF(O15="x","⚠️ estimada","informada"),"⚠️ falta quantidade")))</f>
        <v>informada</v>
      </c>
      <c r="F15" s="262"/>
      <c r="G15" s="262"/>
      <c r="H15" s="267"/>
      <c r="I15" s="266"/>
      <c r="J15" s="263">
        <f>IF(D15="","",D15*IF(N(I15)&gt;0,I15,1))</f>
        <v>60</v>
      </c>
      <c r="K15" s="268" cm="1" t="str">
        <f t="array" ref="K15">IF(OR(H15="",N(F15)&lt;=0,IFERROR(INDEX({1,1000,1,1000,1},MATCH(IF(G15="",IF('Ficha Técnica'!F19="","g",'Ficha Técnica'!F19),G15),{"g","kg","ml","L","un"},0)),"")=""),"",H15/(F15*IFERROR(INDEX({1,1000,1,1000,1},MATCH(IF(G15="",IF('Ficha Técnica'!F19="","g",'Ficha Técnica'!F19),G15),{"g","kg","ml","L","un"},0)),"")))</f>
        <v/>
      </c>
      <c r="L15" s="271" t="str">
        <f>IF(OR(J15="",K15=""),"",IF(N15="unidade incompatível","",J15*K15))</f>
        <v/>
      </c>
      <c r="M15" s="275" t="str">
        <f>IF(OR(L15="",N(L23)&lt;=0),"",L15/L23)</f>
        <v/>
      </c>
      <c r="N15" s="252" t="str">
        <f>IF(C15="","",IF(D15="","",IF(H15="","falta preço",IF(AND(IF(OR(IF('Ficha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Técnica'!F19),G15)="un","u",""))),OR(IF(OR(IF('Ficha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Técnica'!F19)="un","u","")))="u",IF(OR(IF(G15="",IF('Ficha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Técnica'!F19),G15)="un","u","")))="u")),"unidade incompatível",IF(IF(OR(IF('Ficha Técnica'!F19="","g",'Ficha Técnica'!F19)="g",IF('Ficha Técnica'!F19="","g",'Ficha Técnica'!F19)="kg"),"m",IF(OR(IF('Ficha Técnica'!F19="","g",'Ficha Técnica'!F19)="ml",IF('Ficha Técnica'!F19="","g",'Ficha Técnica'!F19)="L"),"v",IF(IF('Ficha Técnica'!F19="","g",'Ficha Técnica'!F19)="un","u","")))&lt;&gt;IF(OR(IF(G15="",IF('Ficha Técnica'!F19="","g",'Ficha Técnica'!F19),G15)="g",IF(G15="",IF('Ficha Técnica'!F19="","g",'Ficha Técnica'!F19),G15)="kg"),"m",IF(OR(IF(G15="",IF('Ficha Técnica'!F19="","g",'Ficha Técnica'!F19),G15)="ml",IF(G15="",IF('Ficha Técnica'!F19="","g",'Ficha Técnica'!F19),G15)="L"),"v",IF(IF(G15="",IF('Ficha Técnica'!F19="","g",'Ficha Técnica'!F19),G15)="un","u",""))),"ml contado como g","")))))</f>
        <v>falta preço</v>
      </c>
      <c r="O15" s="262"/>
    </row>
    <row r="16" ht="12.75" customHeight="1">
      <c r="B16" s="253">
        <v>2</v>
      </c>
      <c r="C16" s="253" t="str">
        <f>IF('Ficha Técnica'!C20="","",'Ficha Técnica'!C20)</f>
        <v>Suco de limão</v>
      </c>
      <c r="D16" s="264" cm="1">
        <f t="array" ref="D16">IF(C16="","",IF(N('Ficha Técnica'!E20)&gt;0,'Ficha Técnica'!E20*IF('Ficha Técnica'!F20="",1,IFERROR(INDEX({1,1000,1,1000,1},MATCH('Ficha Técnica'!F20,{"g","kg","ml","L","un"},0)),"")),""))</f>
        <v>30</v>
      </c>
      <c r="E16" s="254" t="str">
        <f>IF(C16="","",IF(LOWER('Ficha Técnica'!E20)="qb","a gosto (fora da conta)",IF(N('Ficha Técnica'!E20)&gt;0,IF(O16="x","⚠️ estimada","informada"),"⚠️ falta quantidade")))</f>
        <v>informada</v>
      </c>
      <c r="F16" s="262"/>
      <c r="G16" s="262"/>
      <c r="H16" s="267"/>
      <c r="I16" s="266"/>
      <c r="J16" s="264">
        <f>IF(D16="","",D16*IF(N(I16)&gt;0,I16,1))</f>
        <v>30</v>
      </c>
      <c r="K16" s="269" cm="1" t="str">
        <f t="array" ref="K16">IF(OR(H16="",N(F16)&lt;=0,IFERROR(INDEX({1,1000,1,1000,1},MATCH(IF(G16="",IF('Ficha Técnica'!F20="","g",'Ficha Técnica'!F20),G16),{"g","kg","ml","L","un"},0)),"")=""),"",H16/(F16*IFERROR(INDEX({1,1000,1,1000,1},MATCH(IF(G16="",IF('Ficha Técnica'!F20="","g",'Ficha Técnica'!F20),G16),{"g","kg","ml","L","un"},0)),"")))</f>
        <v/>
      </c>
      <c r="L16" s="272" t="str">
        <f>IF(OR(J16="",K16=""),"",IF(N16="unidade incompatível","",J16*K16))</f>
        <v/>
      </c>
      <c r="M16" s="276" t="str">
        <f>IF(OR(L16="",N(L23)&lt;=0),"",L16/L23)</f>
        <v/>
      </c>
      <c r="N16" s="254" t="str">
        <f>IF(C16="","",IF(D16="","",IF(H16="","falta preço",IF(AND(IF(OR(IF('Ficha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Técnica'!F20),G16)="un","u",""))),OR(IF(OR(IF('Ficha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Técnica'!F20)="un","u","")))="u",IF(OR(IF(G16="",IF('Ficha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Técnica'!F20),G16)="un","u","")))="u")),"unidade incompatível",IF(IF(OR(IF('Ficha Técnica'!F20="","g",'Ficha Técnica'!F20)="g",IF('Ficha Técnica'!F20="","g",'Ficha Técnica'!F20)="kg"),"m",IF(OR(IF('Ficha Técnica'!F20="","g",'Ficha Técnica'!F20)="ml",IF('Ficha Técnica'!F20="","g",'Ficha Técnica'!F20)="L"),"v",IF(IF('Ficha Técnica'!F20="","g",'Ficha Técnica'!F20)="un","u","")))&lt;&gt;IF(OR(IF(G16="",IF('Ficha Técnica'!F20="","g",'Ficha Técnica'!F20),G16)="g",IF(G16="",IF('Ficha Técnica'!F20="","g",'Ficha Técnica'!F20),G16)="kg"),"m",IF(OR(IF(G16="",IF('Ficha Técnica'!F20="","g",'Ficha Técnica'!F20),G16)="ml",IF(G16="",IF('Ficha Técnica'!F20="","g",'Ficha Técnica'!F20),G16)="L"),"v",IF(IF(G16="",IF('Ficha Técnica'!F20="","g",'Ficha Técnica'!F20),G16)="un","u",""))),"ml contado como g","")))))</f>
        <v>falta preço</v>
      </c>
      <c r="O16" s="262"/>
    </row>
    <row r="17" ht="12.75" customHeight="1">
      <c r="B17" s="253">
        <v>3</v>
      </c>
      <c r="C17" s="253" t="str">
        <f>IF('Ficha Técnica'!C21="","",'Ficha Técnica'!C21)</f>
        <v>Mostarda amarela pronta</v>
      </c>
      <c r="D17" s="264" cm="1">
        <f t="array" ref="D17">IF(C17="","",IF(N('Ficha Técnica'!E21)&gt;0,'Ficha Técnica'!E21*IF('Ficha Técnica'!F21="",1,IFERROR(INDEX({1,1000,1,1000,1},MATCH('Ficha Técnica'!F21,{"g","kg","ml","L","un"},0)),"")),""))</f>
        <v>30</v>
      </c>
      <c r="E17" s="254" t="str">
        <f>IF(C17="","",IF(LOWER('Ficha Técnica'!E21)="qb","a gosto (fora da conta)",IF(N('Ficha Técnica'!E21)&gt;0,IF(O17="x","⚠️ estimada","informada"),"⚠️ falta quantidade")))</f>
        <v>informada</v>
      </c>
      <c r="F17" s="262"/>
      <c r="G17" s="262"/>
      <c r="H17" s="267"/>
      <c r="I17" s="266"/>
      <c r="J17" s="264">
        <f>IF(D17="","",D17*IF(N(I17)&gt;0,I17,1))</f>
        <v>30</v>
      </c>
      <c r="K17" s="269" cm="1" t="str">
        <f t="array" ref="K17">IF(OR(H17="",N(F17)&lt;=0,IFERROR(INDEX({1,1000,1,1000,1},MATCH(IF(G17="",IF('Ficha Técnica'!F21="","g",'Ficha Técnica'!F21),G17),{"g","kg","ml","L","un"},0)),"")=""),"",H17/(F17*IFERROR(INDEX({1,1000,1,1000,1},MATCH(IF(G17="",IF('Ficha Técnica'!F21="","g",'Ficha Técnica'!F21),G17),{"g","kg","ml","L","un"},0)),"")))</f>
        <v/>
      </c>
      <c r="L17" s="272" t="str">
        <f>IF(OR(J17="",K17=""),"",IF(N17="unidade incompatível","",J17*K17))</f>
        <v/>
      </c>
      <c r="M17" s="276" t="str">
        <f>IF(OR(L17="",N(L23)&lt;=0),"",L17/L23)</f>
        <v/>
      </c>
      <c r="N17" s="254" t="str">
        <f>IF(C17="","",IF(D17="","",IF(H17="","falta preço",IF(AND(IF(OR(IF('Ficha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Técnica'!F21),G17)="un","u",""))),OR(IF(OR(IF('Ficha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Técnica'!F21)="un","u","")))="u",IF(OR(IF(G17="",IF('Ficha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Técnica'!F21),G17)="un","u","")))="u")),"unidade incompatível",IF(IF(OR(IF('Ficha Técnica'!F21="","g",'Ficha Técnica'!F21)="g",IF('Ficha Técnica'!F21="","g",'Ficha Técnica'!F21)="kg"),"m",IF(OR(IF('Ficha Técnica'!F21="","g",'Ficha Técnica'!F21)="ml",IF('Ficha Técnica'!F21="","g",'Ficha Técnica'!F21)="L"),"v",IF(IF('Ficha Técnica'!F21="","g",'Ficha Técnica'!F21)="un","u","")))&lt;&gt;IF(OR(IF(G17="",IF('Ficha Técnica'!F21="","g",'Ficha Técnica'!F21),G17)="g",IF(G17="",IF('Ficha Técnica'!F21="","g",'Ficha Técnica'!F21),G17)="kg"),"m",IF(OR(IF(G17="",IF('Ficha Técnica'!F21="","g",'Ficha Técnica'!F21),G17)="ml",IF(G17="",IF('Ficha Técnica'!F21="","g",'Ficha Técnica'!F21),G17)="L"),"v",IF(IF(G17="",IF('Ficha Técnica'!F21="","g",'Ficha Técnica'!F21),G17)="un","u",""))),"ml contado como g","")))))</f>
        <v>falta preço</v>
      </c>
      <c r="O17" s="262"/>
    </row>
    <row r="18" ht="12.75" customHeight="1">
      <c r="B18" s="253">
        <v>4</v>
      </c>
      <c r="C18" s="253" t="str">
        <f>IF('Ficha Técnica'!C22="","",'Ficha Técnica'!C22)</f>
        <v>Cúrcuma Açafrão-da-terra PQ</v>
      </c>
      <c r="D18" s="264">
        <v>1</v>
      </c>
      <c r="E18" s="254" t="str">
        <f>IF(C18="","","⚠️ a gosto (máximo)")</f>
        <v>⚠️ a gosto (máximo)</v>
      </c>
      <c r="F18" s="262"/>
      <c r="G18" s="262"/>
      <c r="H18" s="267"/>
      <c r="I18" s="266"/>
      <c r="J18" s="264">
        <f>IF(D18="","",D18*IF(N(I18)&gt;0,I18,1))</f>
        <v>1</v>
      </c>
      <c r="K18" s="269" cm="1" t="str">
        <f t="array" ref="K18">IF(OR(H18="",N(F18)&lt;=0,IFERROR(INDEX({1,1000,1,1000,1},MATCH(IF(G18="",IF('Ficha Técnica'!F22="","g",'Ficha Técnica'!F22),G18),{"g","kg","ml","L","un"},0)),"")=""),"",H18/(F18*IFERROR(INDEX({1,1000,1,1000,1},MATCH(IF(G18="",IF('Ficha Técnica'!F22="","g",'Ficha Técnica'!F22),G18),{"g","kg","ml","L","un"},0)),"")))</f>
        <v/>
      </c>
      <c r="L18" s="272" t="str">
        <f>IF(OR(J18="",K18=""),"",IF(N18="unidade incompatível","",J18*K18))</f>
        <v/>
      </c>
      <c r="M18" s="276" t="str">
        <f>IF(OR(L18="",N(L23)&lt;=0),"",L18/L23)</f>
        <v/>
      </c>
      <c r="N18" s="254" t="str">
        <f>IF(C18="","",IF(D18="","",IF(H18="","falta preço",IF(AND(IF(OR(IF('Ficha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Técnica'!F22),G18)="un","u",""))),OR(IF(OR(IF('Ficha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Técnica'!F22)="un","u","")))="u",IF(OR(IF(G18="",IF('Ficha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Técnica'!F22),G18)="un","u","")))="u")),"unidade incompatível",IF(IF(OR(IF('Ficha Técnica'!F22="","g",'Ficha Técnica'!F22)="g",IF('Ficha Técnica'!F22="","g",'Ficha Técnica'!F22)="kg"),"m",IF(OR(IF('Ficha Técnica'!F22="","g",'Ficha Técnica'!F22)="ml",IF('Ficha Técnica'!F22="","g",'Ficha Técnica'!F22)="L"),"v",IF(IF('Ficha Técnica'!F22="","g",'Ficha Técnica'!F22)="un","u","")))&lt;&gt;IF(OR(IF(G18="",IF('Ficha Técnica'!F22="","g",'Ficha Técnica'!F22),G18)="g",IF(G18="",IF('Ficha Técnica'!F22="","g",'Ficha Técnica'!F22),G18)="kg"),"m",IF(OR(IF(G18="",IF('Ficha Técnica'!F22="","g",'Ficha Técnica'!F22),G18)="ml",IF(G18="",IF('Ficha Técnica'!F22="","g",'Ficha Técnica'!F22),G18)="L"),"v",IF(IF(G18="",IF('Ficha Técnica'!F22="","g",'Ficha Técnica'!F22),G18)="un","u",""))),"ml contado como g","")))))</f>
        <v>falta preço</v>
      </c>
      <c r="O18" s="262"/>
    </row>
    <row r="19" ht="12.75" customHeight="1">
      <c r="B19" s="253">
        <v>5</v>
      </c>
      <c r="C19" s="253" t="str">
        <f>IF('Ficha Técnica'!C23="","",'Ficha Técnica'!C23)</f>
        <v>Sal</v>
      </c>
      <c r="D19" s="264">
        <v>1</v>
      </c>
      <c r="E19" s="254" t="str">
        <f>IF(C19="","","⚠️ a gosto (máximo)")</f>
        <v>⚠️ a gosto (máximo)</v>
      </c>
      <c r="F19" s="262"/>
      <c r="G19" s="262"/>
      <c r="H19" s="267"/>
      <c r="I19" s="266"/>
      <c r="J19" s="264">
        <f>IF(D19="","",D19*IF(N(I19)&gt;0,I19,1))</f>
        <v>1</v>
      </c>
      <c r="K19" s="269" cm="1" t="str">
        <f t="array" ref="K19">IF(OR(H19="",N(F19)&lt;=0,IFERROR(INDEX({1,1000,1,1000,1},MATCH(IF(G19="",IF('Ficha Técnica'!F23="","g",'Ficha Técnica'!F23),G19),{"g","kg","ml","L","un"},0)),"")=""),"",H19/(F19*IFERROR(INDEX({1,1000,1,1000,1},MATCH(IF(G19="",IF('Ficha Técnica'!F23="","g",'Ficha Técnica'!F23),G19),{"g","kg","ml","L","un"},0)),"")))</f>
        <v/>
      </c>
      <c r="L19" s="272" t="str">
        <f>IF(OR(J19="",K19=""),"",IF(N19="unidade incompatível","",J19*K19))</f>
        <v/>
      </c>
      <c r="M19" s="276" t="str">
        <f>IF(OR(L19="",N(L23)&lt;=0),"",L19/L23)</f>
        <v/>
      </c>
      <c r="N19" s="254" t="str">
        <f>IF(C19="","",IF(D19="","",IF(H19="","falta preço",IF(AND(IF(OR(IF('Ficha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Técnica'!F23),G19)="un","u",""))),OR(IF(OR(IF('Ficha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Técnica'!F23)="un","u","")))="u",IF(OR(IF(G19="",IF('Ficha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Técnica'!F23),G19)="un","u","")))="u")),"unidade incompatível",IF(IF(OR(IF('Ficha Técnica'!F23="","g",'Ficha Técnica'!F23)="g",IF('Ficha Técnica'!F23="","g",'Ficha Técnica'!F23)="kg"),"m",IF(OR(IF('Ficha Técnica'!F23="","g",'Ficha Técnica'!F23)="ml",IF('Ficha Técnica'!F23="","g",'Ficha Técnica'!F23)="L"),"v",IF(IF('Ficha Técnica'!F23="","g",'Ficha Técnica'!F23)="un","u","")))&lt;&gt;IF(OR(IF(G19="",IF('Ficha Técnica'!F23="","g",'Ficha Técnica'!F23),G19)="g",IF(G19="",IF('Ficha Técnica'!F23="","g",'Ficha Técnica'!F23),G19)="kg"),"m",IF(OR(IF(G19="",IF('Ficha Técnica'!F23="","g",'Ficha Técnica'!F23),G19)="ml",IF(G19="",IF('Ficha Técnica'!F23="","g",'Ficha Técnica'!F23),G19)="L"),"v",IF(IF(G19="",IF('Ficha Técnica'!F23="","g",'Ficha Técnica'!F23),G19)="un","u",""))),"ml contado como g","")))))</f>
        <v>falta preço</v>
      </c>
      <c r="O19" s="262"/>
    </row>
    <row r="20" ht="12.75" customHeight="1">
      <c r="B20" s="253">
        <v>6</v>
      </c>
      <c r="C20" s="253" t="str">
        <f>IF('Ficha Técnica'!C24="","",'Ficha Técnica'!C24)</f>
        <v/>
      </c>
      <c r="D20" s="264" cm="1" t="str">
        <f t="array" ref="D20">IF(C20="","",IF(N('Ficha Técnica'!E24)&gt;0,'Ficha Técnica'!E24*IF('Ficha Técnica'!F24="",1,IFERROR(INDEX({1,1000,1,1000,1},MATCH('Ficha Técnica'!F24,{"g","kg","ml","L","un"},0)),"")),""))</f>
        <v/>
      </c>
      <c r="E20" s="254" t="str">
        <f>IF(C20="","",IF(LOWER('Ficha Técnica'!E24)="qb","a gosto (fora da conta)",IF(N('Ficha Técnica'!E24)&gt;0,IF(O20="x","⚠️ estimada","informada"),"⚠️ falta quantidade")))</f>
        <v/>
      </c>
      <c r="F20" s="262"/>
      <c r="G20" s="262"/>
      <c r="H20" s="267"/>
      <c r="I20" s="266"/>
      <c r="J20" s="264" t="str">
        <f>IF(D20="","",D20*IF(N(I20)&gt;0,I20,1))</f>
        <v/>
      </c>
      <c r="K20" s="269" cm="1" t="str">
        <f t="array" ref="K20">IF(OR(H20="",N(F20)&lt;=0,IFERROR(INDEX({1,1000,1,1000,1},MATCH(IF(G20="",IF('Ficha Técnica'!F24="","g",'Ficha Técnica'!F24),G20),{"g","kg","ml","L","un"},0)),"")=""),"",H20/(F20*IFERROR(INDEX({1,1000,1,1000,1},MATCH(IF(G20="",IF('Ficha Técnica'!F24="","g",'Ficha Técnica'!F24),G20),{"g","kg","ml","L","un"},0)),"")))</f>
        <v/>
      </c>
      <c r="L20" s="272" t="str">
        <f>IF(OR(J20="",K20=""),"",IF(N20="unidade incompatível","",J20*K20))</f>
        <v/>
      </c>
      <c r="M20" s="276" t="str">
        <f>IF(OR(L20="",N(L23)&lt;=0),"",L20/L23)</f>
        <v/>
      </c>
      <c r="N20" s="254" t="str">
        <f>IF(C20="","",IF(D20="","",IF(H20="","falta preço",IF(AND(IF(OR(IF('Ficha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Técnica'!F24),G20)="un","u",""))),OR(IF(OR(IF('Ficha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Técnica'!F24)="un","u","")))="u",IF(OR(IF(G20="",IF('Ficha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Técnica'!F24),G20)="un","u","")))="u")),"unidade incompatível",IF(IF(OR(IF('Ficha Técnica'!F24="","g",'Ficha Técnica'!F24)="g",IF('Ficha Técnica'!F24="","g",'Ficha Técnica'!F24)="kg"),"m",IF(OR(IF('Ficha Técnica'!F24="","g",'Ficha Técnica'!F24)="ml",IF('Ficha Técnica'!F24="","g",'Ficha Técnica'!F24)="L"),"v",IF(IF('Ficha Técnica'!F24="","g",'Ficha Técnica'!F24)="un","u","")))&lt;&gt;IF(OR(IF(G20="",IF('Ficha Técnica'!F24="","g",'Ficha Técnica'!F24),G20)="g",IF(G20="",IF('Ficha Técnica'!F24="","g",'Ficha Técnica'!F24),G20)="kg"),"m",IF(OR(IF(G20="",IF('Ficha Técnica'!F24="","g",'Ficha Técnica'!F24),G20)="ml",IF(G20="",IF('Ficha Técnica'!F24="","g",'Ficha Técnica'!F24),G20)="L"),"v",IF(IF(G20="",IF('Ficha Técnica'!F24="","g",'Ficha Técnica'!F24),G20)="un","u",""))),"ml contado como g","")))))</f>
        <v/>
      </c>
      <c r="O20" s="262"/>
    </row>
    <row r="21" ht="12.75" customHeight="1">
      <c r="B21" s="253">
        <v>7</v>
      </c>
      <c r="C21" s="253" t="str">
        <f>IF('Ficha Técnica'!C25="","",'Ficha Técnica'!C25)</f>
        <v/>
      </c>
      <c r="D21" s="264" cm="1" t="str">
        <f t="array" ref="D21">IF(C21="","",IF(N('Ficha Técnica'!E25)&gt;0,'Ficha Técnica'!E25*IF('Ficha Técnica'!F25="",1,IFERROR(INDEX({1,1000,1,1000,1},MATCH('Ficha Técnica'!F25,{"g","kg","ml","L","un"},0)),"")),""))</f>
        <v/>
      </c>
      <c r="E21" s="254" t="str">
        <f>IF(C21="","",IF(LOWER('Ficha Técnica'!E25)="qb","a gosto (fora da conta)",IF(N('Ficha Técnica'!E25)&gt;0,IF(O21="x","⚠️ estimada","informada"),"⚠️ falta quantidade")))</f>
        <v/>
      </c>
      <c r="F21" s="262"/>
      <c r="G21" s="262"/>
      <c r="H21" s="267"/>
      <c r="I21" s="266"/>
      <c r="J21" s="264" t="str">
        <f>IF(D21="","",D21*IF(N(I21)&gt;0,I21,1))</f>
        <v/>
      </c>
      <c r="K21" s="269" cm="1" t="str">
        <f t="array" ref="K21">IF(OR(H21="",N(F21)&lt;=0,IFERROR(INDEX({1,1000,1,1000,1},MATCH(IF(G21="",IF('Ficha Técnica'!F25="","g",'Ficha Técnica'!F25),G21),{"g","kg","ml","L","un"},0)),"")=""),"",H21/(F21*IFERROR(INDEX({1,1000,1,1000,1},MATCH(IF(G21="",IF('Ficha Técnica'!F25="","g",'Ficha Técnica'!F25),G21),{"g","kg","ml","L","un"},0)),"")))</f>
        <v/>
      </c>
      <c r="L21" s="272" t="str">
        <f>IF(OR(J21="",K21=""),"",IF(N21="unidade incompatível","",J21*K21))</f>
        <v/>
      </c>
      <c r="M21" s="276" t="str">
        <f>IF(OR(L21="",N(L23)&lt;=0),"",L21/L23)</f>
        <v/>
      </c>
      <c r="N21" s="254" t="str">
        <f>IF(C21="","",IF(D21="","",IF(H21="","falta preço",IF(AND(IF(OR(IF('Ficha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Técnica'!F25),G21)="un","u",""))),OR(IF(OR(IF('Ficha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Técnica'!F25)="un","u","")))="u",IF(OR(IF(G21="",IF('Ficha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Técnica'!F25),G21)="un","u","")))="u")),"unidade incompatível",IF(IF(OR(IF('Ficha Técnica'!F25="","g",'Ficha Técnica'!F25)="g",IF('Ficha Técnica'!F25="","g",'Ficha Técnica'!F25)="kg"),"m",IF(OR(IF('Ficha Técnica'!F25="","g",'Ficha Técnica'!F25)="ml",IF('Ficha Técnica'!F25="","g",'Ficha Técnica'!F25)="L"),"v",IF(IF('Ficha Técnica'!F25="","g",'Ficha Técnica'!F25)="un","u","")))&lt;&gt;IF(OR(IF(G21="",IF('Ficha Técnica'!F25="","g",'Ficha Técnica'!F25),G21)="g",IF(G21="",IF('Ficha Técnica'!F25="","g",'Ficha Técnica'!F25),G21)="kg"),"m",IF(OR(IF(G21="",IF('Ficha Técnica'!F25="","g",'Ficha Técnica'!F25),G21)="ml",IF(G21="",IF('Ficha Técnica'!F25="","g",'Ficha Técnica'!F25),G21)="L"),"v",IF(IF(G21="",IF('Ficha Técnica'!F25="","g",'Ficha Técnica'!F25),G21)="un","u",""))),"ml contado como g","")))))</f>
        <v/>
      </c>
      <c r="O21" s="262"/>
    </row>
    <row r="22" ht="12.75" customHeight="1">
      <c r="B22" s="255">
        <v>8</v>
      </c>
      <c r="C22" s="255" t="str">
        <f>IF('Ficha Técnica'!C26="","",'Ficha Técnica'!C26)</f>
        <v/>
      </c>
      <c r="D22" s="265" cm="1" t="str">
        <f t="array" ref="D22">IF(C22="","",IF(N('Ficha Técnica'!E26)&gt;0,'Ficha Técnica'!E26*IF('Ficha Técnica'!F26="",1,IFERROR(INDEX({1,1000,1,1000,1},MATCH('Ficha Técnica'!F26,{"g","kg","ml","L","un"},0)),"")),""))</f>
        <v/>
      </c>
      <c r="E22" s="256" t="str">
        <f>IF(C22="","",IF(LOWER('Ficha Técnica'!E26)="qb","a gosto (fora da conta)",IF(N('Ficha Técnica'!E26)&gt;0,IF(O22="x","⚠️ estimada","informada"),"⚠️ falta quantidade")))</f>
        <v/>
      </c>
      <c r="F22" s="262"/>
      <c r="G22" s="262"/>
      <c r="H22" s="267"/>
      <c r="I22" s="266"/>
      <c r="J22" s="265" t="str">
        <f>IF(D22="","",D22*IF(N(I22)&gt;0,I22,1))</f>
        <v/>
      </c>
      <c r="K22" s="270" cm="1" t="str">
        <f t="array" ref="K22">IF(OR(H22="",N(F22)&lt;=0,IFERROR(INDEX({1,1000,1,1000,1},MATCH(IF(G22="",IF('Ficha Técnica'!F26="","g",'Ficha Técnica'!F26),G22),{"g","kg","ml","L","un"},0)),"")=""),"",H22/(F22*IFERROR(INDEX({1,1000,1,1000,1},MATCH(IF(G22="",IF('Ficha Técnica'!F26="","g",'Ficha Técnica'!F26),G22),{"g","kg","ml","L","un"},0)),"")))</f>
        <v/>
      </c>
      <c r="L22" s="273" t="str">
        <f>IF(OR(J22="",K22=""),"",IF(N22="unidade incompatível","",J22*K22))</f>
        <v/>
      </c>
      <c r="M22" s="277" t="str">
        <f>IF(OR(L22="",N(L23)&lt;=0),"",L22/L23)</f>
        <v/>
      </c>
      <c r="N22" s="256" t="str">
        <f>IF(C22="","",IF(D22="","",IF(H22="","falta preço",IF(AND(IF(OR(IF('Ficha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Técnica'!F26),G22)="un","u",""))),OR(IF(OR(IF('Ficha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Técnica'!F26)="un","u","")))="u",IF(OR(IF(G22="",IF('Ficha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Técnica'!F26),G22)="un","u","")))="u")),"unidade incompatível",IF(IF(OR(IF('Ficha Técnica'!F26="","g",'Ficha Técnica'!F26)="g",IF('Ficha Técnica'!F26="","g",'Ficha Técnica'!F26)="kg"),"m",IF(OR(IF('Ficha Técnica'!F26="","g",'Ficha Técnica'!F26)="ml",IF('Ficha Técnica'!F26="","g",'Ficha Técnica'!F26)="L"),"v",IF(IF('Ficha Técnica'!F26="","g",'Ficha Técnica'!F26)="un","u","")))&lt;&gt;IF(OR(IF(G22="",IF('Ficha Técnica'!F26="","g",'Ficha Técnica'!F26),G22)="g",IF(G22="",IF('Ficha Técnica'!F26="","g",'Ficha Técnica'!F26),G22)="kg"),"m",IF(OR(IF(G22="",IF('Ficha Técnica'!F26="","g",'Ficha Técnica'!F26),G22)="ml",IF(G22="",IF('Ficha Técnica'!F26="","g",'Ficha Técnica'!F26),G22)="L"),"v",IF(IF(G22="",IF('Ficha Técnica'!F26="","g",'Ficha Técnica'!F26),G22)="un","u",""))),"ml contado como g","")))))</f>
        <v/>
      </c>
      <c r="O22" s="262"/>
    </row>
    <row r="23">
      <c r="B23" s="257"/>
      <c r="C23" s="257" t="s">
        <v>102</v>
      </c>
      <c r="D23" s="257"/>
      <c r="E23" s="257"/>
      <c r="F23" s="257"/>
      <c r="G23" s="257"/>
      <c r="H23" s="257"/>
      <c r="I23" s="257"/>
      <c r="J23" s="257"/>
      <c r="K23" s="257"/>
      <c r="L23" s="274">
        <f>SUM(L15:L22)</f>
        <v>0</v>
      </c>
      <c r="M23" s="257"/>
      <c r="N23" s="257"/>
      <c r="O23" s="257"/>
    </row>
    <row r="26">
      <c r="B26" s="50" t="s">
        <v>103</v>
      </c>
      <c r="C26" s="50"/>
      <c r="D26" s="50"/>
      <c r="E26" s="50"/>
      <c r="F26" s="50"/>
      <c r="G26" s="50"/>
      <c r="I26" s="50" t="s">
        <v>104</v>
      </c>
      <c r="J26" s="50"/>
      <c r="K26" s="50"/>
      <c r="L26" s="50"/>
      <c r="M26" s="50"/>
    </row>
    <row r="27">
      <c r="B27" s="158" t="s">
        <v>105</v>
      </c>
      <c r="C27" s="158"/>
      <c r="D27" s="158"/>
      <c r="E27" s="158"/>
      <c r="F27" s="159">
        <f>'Ficha Técnica'!D10</f>
        <v>4</v>
      </c>
      <c r="G27" s="158"/>
      <c r="I27" s="173" t="s">
        <v>106</v>
      </c>
      <c r="J27" s="173"/>
      <c r="K27" s="173"/>
      <c r="L27" s="177">
        <f>L23</f>
        <v>0</v>
      </c>
      <c r="M27" s="178"/>
    </row>
    <row r="28">
      <c r="B28" s="158" t="s">
        <v>107</v>
      </c>
      <c r="C28" s="158"/>
      <c r="D28" s="158"/>
      <c r="E28" s="158"/>
      <c r="F28" s="160">
        <v>0</v>
      </c>
      <c r="G28" s="161"/>
      <c r="I28" s="173" t="s">
        <v>64</v>
      </c>
      <c r="J28" s="173"/>
      <c r="K28" s="173"/>
      <c r="L28" s="177" t="str">
        <f>IF(AND(N($F$27)&gt;0,N($L$27)&gt;0),$L$27/$F$27,"")</f>
        <v/>
      </c>
      <c r="M28" s="178"/>
    </row>
    <row r="29">
      <c r="B29" s="158" t="s">
        <v>108</v>
      </c>
      <c r="C29" s="158"/>
      <c r="D29" s="158"/>
      <c r="E29" s="158"/>
      <c r="F29" s="162">
        <v>0.05</v>
      </c>
      <c r="G29" s="161"/>
      <c r="I29" s="173" t="s">
        <v>109</v>
      </c>
      <c r="J29" s="173"/>
      <c r="K29" s="173"/>
      <c r="L29" s="177" t="str">
        <f>IF($L$28="","",$L$28*N($F$29))</f>
        <v/>
      </c>
      <c r="M29" s="178"/>
    </row>
    <row r="30">
      <c r="B30" s="158" t="s">
        <v>110</v>
      </c>
      <c r="C30" s="158"/>
      <c r="D30" s="158"/>
      <c r="E30" s="158"/>
      <c r="F30" s="162">
        <v>0.3</v>
      </c>
      <c r="G30" s="161"/>
      <c r="I30" s="173" t="s">
        <v>111</v>
      </c>
      <c r="J30" s="173"/>
      <c r="K30" s="173"/>
      <c r="L30" s="177" t="str">
        <f>IF($L$28="","",N($F$28))</f>
        <v/>
      </c>
      <c r="M30" s="178"/>
    </row>
    <row r="31">
      <c r="B31" s="158" t="s">
        <v>112</v>
      </c>
      <c r="C31" s="158"/>
      <c r="D31" s="158"/>
      <c r="E31" s="158"/>
      <c r="F31" s="160"/>
      <c r="G31" s="161"/>
      <c r="I31" s="186" t="s">
        <v>67</v>
      </c>
      <c r="J31" s="186"/>
      <c r="K31" s="186"/>
      <c r="L31" s="187" t="str">
        <f>IF($L$28="","",SUM($L$28:$L$30))</f>
        <v/>
      </c>
      <c r="M31" s="188"/>
    </row>
    <row r="32">
      <c r="I32" s="189" t="s">
        <v>82</v>
      </c>
      <c r="J32" s="189"/>
      <c r="K32" s="189"/>
      <c r="L32" s="190" t="str">
        <f>IF(OR($L$31="",N($F$30)&lt;=0),"",$L$31/$F$30)</f>
        <v/>
      </c>
      <c r="M32" s="191"/>
    </row>
    <row r="33">
      <c r="B33" s="153" t="s">
        <v>113</v>
      </c>
      <c r="C33" s="153"/>
      <c r="D33" s="153"/>
      <c r="E33" s="153"/>
      <c r="F33" s="153"/>
      <c r="G33" s="153"/>
      <c r="I33" s="173" t="s">
        <v>70</v>
      </c>
      <c r="J33" s="173"/>
      <c r="K33" s="173"/>
      <c r="L33" s="177" t="str">
        <f>IF($L$32="","",$L$32-$L$31)</f>
        <v/>
      </c>
      <c r="M33" s="178"/>
    </row>
    <row r="34">
      <c r="B34" s="153"/>
      <c r="C34" s="153"/>
      <c r="D34" s="153"/>
      <c r="E34" s="153"/>
      <c r="F34" s="153"/>
      <c r="G34" s="153"/>
      <c r="I34" s="192" t="s">
        <v>71</v>
      </c>
      <c r="J34" s="192"/>
      <c r="K34" s="192"/>
      <c r="L34" s="193" t="str">
        <f>IF(OR($L$31="",N(PctNegocio)&lt;=0,N(PctNegocio)&gt;=1),"",$L$31/(1-PctNegocio))</f>
        <v/>
      </c>
      <c r="M34" s="194"/>
    </row>
    <row r="35">
      <c r="B35" s="153"/>
      <c r="C35" s="153"/>
      <c r="D35" s="153"/>
      <c r="E35" s="153"/>
      <c r="F35" s="153"/>
      <c r="G35" s="153"/>
      <c r="I35" s="173" t="s">
        <v>114</v>
      </c>
      <c r="J35" s="173"/>
      <c r="K35" s="173"/>
      <c r="L35" s="179" t="str">
        <f>IF(OR($L$31="",N($F$31)&lt;=0),"",$L$31/$F$31)</f>
        <v/>
      </c>
      <c r="M35" s="178"/>
    </row>
    <row r="36">
      <c r="B36" s="153"/>
      <c r="C36" s="153"/>
      <c r="D36" s="153"/>
      <c r="E36" s="153"/>
      <c r="F36" s="153"/>
      <c r="G36" s="153"/>
      <c r="I36" s="173" t="s">
        <v>115</v>
      </c>
      <c r="J36" s="173"/>
      <c r="K36" s="173"/>
      <c r="L36" s="177" t="str">
        <f>IF(OR($L$31="",N($F$31)&lt;=0),"",$F$31-$L$31)</f>
        <v/>
      </c>
      <c r="M36" s="178"/>
    </row>
    <row r="37">
      <c r="B37" s="153"/>
      <c r="C37" s="153"/>
      <c r="D37" s="153"/>
      <c r="E37" s="153"/>
      <c r="F37" s="153"/>
      <c r="G37" s="153"/>
      <c r="I37" s="208" t="s">
        <v>116</v>
      </c>
      <c r="J37" s="208"/>
      <c r="K37" s="208"/>
      <c r="L37" s="209">
        <f>IF(N($F$27)&gt;0,$F$27,"")</f>
        <v>4</v>
      </c>
      <c r="M37" s="210"/>
    </row>
    <row r="38">
      <c r="B38" s="153"/>
      <c r="C38" s="153"/>
      <c r="D38" s="153"/>
      <c r="E38" s="153"/>
      <c r="F38" s="153"/>
      <c r="G38" s="153"/>
      <c r="I38" s="195" t="s">
        <v>117</v>
      </c>
      <c r="J38" s="195"/>
      <c r="K38" s="195"/>
      <c r="L38" s="198" t="str">
        <f>IF(OR($L$32="",N($F$27)&lt;=0),"",$L$32*$F$27)</f>
        <v/>
      </c>
      <c r="M38" s="197"/>
    </row>
    <row r="39">
      <c r="I39" s="195" t="s">
        <v>118</v>
      </c>
      <c r="J39" s="195"/>
      <c r="K39" s="195"/>
      <c r="L39" s="198" t="str">
        <f>IF(OR($L$31="",N($F$27)&lt;=0),"",$L$31*$F$27)</f>
        <v/>
      </c>
      <c r="M39" s="197"/>
    </row>
    <row r="40">
      <c r="I40" s="205" t="s">
        <v>76</v>
      </c>
      <c r="J40" s="205"/>
      <c r="K40" s="205"/>
      <c r="L40" s="206" t="str">
        <f>IF(OR($L$38="",$L$39=""),"",$L$38-$L$39)</f>
        <v/>
      </c>
      <c r="M40" s="207"/>
    </row>
  </sheetData>
  <sheetProtection sheet="1" objects="1" scenarios="1" formatColumns="0" formatRows="0"/>
  <mergeCells count="61">
    <mergeCell ref="B1:B4"/>
    <mergeCell ref="C2:O2"/>
    <mergeCell ref="C3:O3"/>
    <mergeCell ref="B6:H6"/>
    <mergeCell ref="B7:H7"/>
    <mergeCell ref="J6:N6"/>
    <mergeCell ref="J7:N7"/>
    <mergeCell ref="B27:E27"/>
    <mergeCell ref="F27:G27"/>
    <mergeCell ref="B28:E28"/>
    <mergeCell ref="F28:G28"/>
    <mergeCell ref="B29:E29"/>
    <mergeCell ref="F29:G29"/>
    <mergeCell ref="B30:E30"/>
    <mergeCell ref="F30:G30"/>
    <mergeCell ref="B31:E31"/>
    <mergeCell ref="F31:G31"/>
    <mergeCell ref="B33:G38"/>
    <mergeCell ref="I27:K27"/>
    <mergeCell ref="L27:M27"/>
    <mergeCell ref="I28:K28"/>
    <mergeCell ref="L28:M28"/>
    <mergeCell ref="I29:K29"/>
    <mergeCell ref="L29:M29"/>
    <mergeCell ref="I30:K30"/>
    <mergeCell ref="L30:M30"/>
    <mergeCell ref="I31:K31"/>
    <mergeCell ref="L31:M31"/>
    <mergeCell ref="I32:K32"/>
    <mergeCell ref="L32:M32"/>
    <mergeCell ref="I33:K33"/>
    <mergeCell ref="L33:M33"/>
    <mergeCell ref="I34:K34"/>
    <mergeCell ref="L34:M34"/>
    <mergeCell ref="I35:K35"/>
    <mergeCell ref="L35:M35"/>
    <mergeCell ref="I36:K36"/>
    <mergeCell ref="L36:M36"/>
    <mergeCell ref="I37:K37"/>
    <mergeCell ref="L37:M37"/>
    <mergeCell ref="I38:K38"/>
    <mergeCell ref="L38:M38"/>
    <mergeCell ref="I39:K39"/>
    <mergeCell ref="L39:M39"/>
    <mergeCell ref="I40:K40"/>
    <mergeCell ref="L40:M40"/>
    <mergeCell ref="B9:C9"/>
    <mergeCell ref="B10:C10"/>
    <mergeCell ref="D9:E9"/>
    <mergeCell ref="D10:E10"/>
    <mergeCell ref="F9:H9"/>
    <mergeCell ref="F10:H10"/>
    <mergeCell ref="I9:L9"/>
    <mergeCell ref="I10:L10"/>
    <mergeCell ref="M9:O9"/>
    <mergeCell ref="M10:O10"/>
    <mergeCell ref="B12:E12"/>
    <mergeCell ref="F12:N12"/>
    <mergeCell ref="B13:E13"/>
    <mergeCell ref="F13:I13"/>
    <mergeCell ref="J13:N13"/>
  </mergeCells>
  <conditionalFormatting sqref="M15:M22">
    <cfRule type="dataBar" priority="1">
      <dataBar>
        <cfvo type="min"/>
        <cfvo type="max"/>
        <color rgb="FF0D6EB0"/>
      </dataBar>
    </cfRule>
  </conditionalFormatting>
  <conditionalFormatting sqref="H15:H22">
    <cfRule type="expression" dxfId="2" priority="2">
      <formula>AND($C15&lt;&gt;"",$H15="",$E15&lt;&gt;"a gosto (fora da conta)")</formula>
    </cfRule>
  </conditionalFormatting>
  <conditionalFormatting sqref="N15:N22">
    <cfRule type="expression" dxfId="1" priority="3">
      <formula>$N15&lt;&gt;""</formula>
    </cfRule>
  </conditionalFormatting>
  <conditionalFormatting sqref="E15:E22">
    <cfRule type="expression" dxfId="3" priority="4">
      <formula>LEFT($E15,2)="⚠️"</formula>
    </cfRule>
  </conditionalFormatting>
  <conditionalFormatting sqref="C15:C22">
    <cfRule type="expression" dxfId="0" priority="5">
      <formula>'Ficha Técnica'!$D19="Sim"</formula>
    </cfRule>
  </conditionalFormatting>
  <dataValidations count="3">
    <dataValidation type="list" allowBlank="1" showInputMessage="1" showErrorMessage="1" sqref="F30">
      <formula1>"25%,30%,35%,40%"</formula1>
    </dataValidation>
    <dataValidation type="list" allowBlank="1" showInputMessage="1" showErrorMessage="1" sqref="G15:G22">
      <formula1>"g,kg,ml,L,un"</formula1>
    </dataValidation>
    <dataValidation type="list" allowBlank="1" showInputMessage="1" showErrorMessage="1" sqref="O15:O22">
      <formula1>"x"</formula1>
    </dataValidation>
  </dataValidations>
  <pageMargins left="0.25" right="0.25" top="0.75" bottom="0.75" header="0.30000001192092896" footer="0.30000001192092896"/>
  <pageSetup paperSize="9" fitToWidth="1" fitToHeight="1" orientation="landscape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A4F80"/>
    <pageSetUpPr fitToPage="1"/>
  </sheetPr>
  <dimension ref="B2:E40"/>
  <sheetViews>
    <sheetView showGridLines="0" workbookViewId="0">
      <selection activeCell="A1" sqref="A1"/>
    </sheetView>
  </sheetViews>
  <sheetFormatPr defaultRowHeight="15"/>
  <cols>
    <col min="1" max="1" width="1.07421875" customWidth="1"/>
    <col min="2" max="2" width="42.8515625" customWidth="1"/>
    <col min="3" max="3" width="20.00390625" customWidth="1"/>
    <col min="4" max="4" width="2.28125" customWidth="1"/>
    <col min="5" max="5" width="42.8515625" customWidth="1"/>
  </cols>
  <sheetData>
    <row r="2" ht="22.5" customHeight="1">
      <c r="B2" s="4" t="s">
        <v>119</v>
      </c>
      <c r="C2" s="4"/>
      <c r="D2" s="4"/>
      <c r="E2" s="4"/>
    </row>
    <row r="3" ht="16.5">
      <c r="B3" s="6" t="str">
        <f>'Ficha Técnica'!D8</f>
        <v>Molho Vegano de Mostarda e Açafrão</v>
      </c>
    </row>
    <row r="5" ht="66" customHeight="1">
      <c r="B5" s="12" t="s">
        <v>120</v>
      </c>
      <c r="C5" s="12"/>
      <c r="D5" s="12"/>
      <c r="E5" s="12"/>
    </row>
    <row r="7">
      <c r="B7" s="17" t="s">
        <v>121</v>
      </c>
      <c r="C7" s="17" t="s">
        <v>122</v>
      </c>
      <c r="D7" s="17"/>
      <c r="E7" s="17" t="s">
        <v>123</v>
      </c>
    </row>
    <row r="8" ht="28.5" customHeight="1">
      <c r="B8" s="29" t="s">
        <v>124</v>
      </c>
      <c r="C8" s="30"/>
      <c r="D8" s="29"/>
      <c r="E8" s="31" t="s">
        <v>125</v>
      </c>
    </row>
    <row r="9" ht="28.5" customHeight="1">
      <c r="B9" s="32" t="s">
        <v>126</v>
      </c>
      <c r="C9" s="33"/>
      <c r="D9" s="32"/>
      <c r="E9" s="34" t="s">
        <v>127</v>
      </c>
    </row>
    <row r="10" ht="39" customHeight="1">
      <c r="B10" s="32" t="s">
        <v>128</v>
      </c>
      <c r="C10" s="33" t="str">
        <f>IF(N(C21)&gt;0,C21,"")</f>
        <v/>
      </c>
      <c r="D10" s="32"/>
      <c r="E10" s="34" t="s">
        <v>129</v>
      </c>
    </row>
    <row r="11" ht="28.5" customHeight="1">
      <c r="B11" s="32" t="s">
        <v>130</v>
      </c>
      <c r="C11" s="33"/>
      <c r="D11" s="32"/>
      <c r="E11" s="34" t="s">
        <v>131</v>
      </c>
    </row>
    <row r="12" ht="28.5" customHeight="1">
      <c r="B12" s="32" t="s">
        <v>132</v>
      </c>
      <c r="C12" s="33"/>
      <c r="D12" s="32"/>
      <c r="E12" s="34" t="s">
        <v>133</v>
      </c>
    </row>
    <row r="13" ht="28.5" customHeight="1">
      <c r="B13" s="35" t="s">
        <v>134</v>
      </c>
      <c r="C13" s="36"/>
      <c r="D13" s="35"/>
      <c r="E13" s="37" t="s">
        <v>135</v>
      </c>
    </row>
    <row r="14">
      <c r="B14" s="46" t="s">
        <v>136</v>
      </c>
      <c r="C14" s="48" t="str">
        <f>IF(COUNT(C8:C13)=0,"",SUM(C8:C13))</f>
        <v/>
      </c>
    </row>
    <row r="15">
      <c r="B15" s="46" t="s">
        <v>137</v>
      </c>
      <c r="C15" s="48" t="str">
        <f>IF(C14="","",1-C14)</f>
        <v/>
      </c>
    </row>
    <row r="17">
      <c r="B17" s="50" t="s">
        <v>138</v>
      </c>
      <c r="C17" s="50"/>
      <c r="D17" s="50"/>
      <c r="E17" s="50"/>
    </row>
    <row r="18" ht="22.5" customHeight="1">
      <c r="B18" s="62" t="s">
        <v>139</v>
      </c>
      <c r="C18" s="56"/>
      <c r="D18" s="23"/>
      <c r="E18" s="27" t="s">
        <v>140</v>
      </c>
    </row>
    <row r="19" ht="34.5" customHeight="1">
      <c r="B19" s="62" t="s">
        <v>141</v>
      </c>
      <c r="C19" s="56"/>
      <c r="D19" s="23"/>
      <c r="E19" s="27" t="s">
        <v>142</v>
      </c>
    </row>
    <row r="20" ht="34.5" customHeight="1">
      <c r="B20" s="62" t="s">
        <v>143</v>
      </c>
      <c r="C20" s="56"/>
      <c r="D20" s="23"/>
      <c r="E20" s="27" t="s">
        <v>144</v>
      </c>
    </row>
    <row r="21" ht="22.5" customHeight="1">
      <c r="B21" s="63" t="s">
        <v>145</v>
      </c>
      <c r="C21" s="48" t="str">
        <f>IF(AND(N(C18)&gt;0,N(C20)&gt;0),C20/C18,"")</f>
        <v/>
      </c>
      <c r="D21" s="23"/>
      <c r="E21" s="27" t="s">
        <v>146</v>
      </c>
    </row>
    <row r="22" ht="22.5" customHeight="1">
      <c r="B22" s="63" t="s">
        <v>147</v>
      </c>
      <c r="C22" s="48" t="str">
        <f>IF(AND(N(C18)&gt;0,N(C19)&gt;0),C19/C18,"")</f>
        <v/>
      </c>
      <c r="D22" s="23"/>
      <c r="E22" s="27" t="str">
        <f>IF(OR(C22="",N(CMVDesejado)=0),"Quanto das vendas vai hoje para ingredientes e embalagens.",IF(C22&gt;CMVDesejado,"Acima do CMV desejado ("&amp;TEXT(CMVDesejado,"0%")&amp;", aba Custos): vale rever compras e fichas.","Dentro do CMV desejado ("&amp;TEXT(CMVDesejado,"0%")&amp;", aba Custos)."))</f>
        <v>Quanto das vendas vai hoje para ingredientes e embalagens.</v>
      </c>
    </row>
    <row r="24">
      <c r="B24" s="50" t="s">
        <v>148</v>
      </c>
      <c r="C24" s="50"/>
      <c r="D24" s="50"/>
      <c r="E24" s="50"/>
    </row>
    <row r="25" ht="36" customHeight="1">
      <c r="B25" s="68" t="str">
        <f>IF(C14="","Preencha os percentuais acima para ver se a conta do negócio fecha.",IF(C14&gt;=1,"⚠️ Os percentuais somam "&amp;TEXT(C14,"0%")&amp;": não sobra nada para os ingredientes e nenhum preço fecha a conta. O problema não é o preço do prato: os custos estão altos para o volume de vendas. Veja abaixo o faturamento necessário.",IF(AND(N(CMVDesejado)&gt;0,C15&lt;CMVDesejado),"⚠️ Sobram só "&amp;TEXT(C15,"0%")&amp;" do preço para os ingredientes, menos que o CMV desejado ("&amp;TEXT(CMVDesejado,"0%")&amp;"). O preço calculado fica alto demais para vender: os custos fixos pesam muito para o volume de vendas. Veja abaixo o faturamento necessário.","A conta fecha: sobram "&amp;TEXT(C15,"0%")&amp;" do preço para os ingredientes"&amp;IF(N(CMVDesejado)&gt;0,", dentro do CMV desejado ("&amp;TEXT(CMVDesejado,"0%")&amp;").","."))))</f>
        <v>Preencha os percentuais acima para ver se a conta do negócio fecha.</v>
      </c>
      <c r="C25" s="68"/>
      <c r="D25" s="68"/>
      <c r="E25" s="68"/>
    </row>
    <row r="26" ht="22.5" customHeight="1">
      <c r="B26" s="46" t="s">
        <v>149</v>
      </c>
      <c r="C26" s="75" t="str">
        <f>IF(N(C20)=0,"",IF(1-N(CMVDesejado)-SUM(C8,C9,C11,C12,C13)&lt;=0,"revise os %",C20/(1-N(CMVDesejado)-SUM(C8,C9,C11,C12,C13))))</f>
        <v/>
      </c>
      <c r="E26" s="27" t="s">
        <v>150</v>
      </c>
    </row>
    <row r="28">
      <c r="B28" s="50" t="s">
        <v>151</v>
      </c>
      <c r="C28" s="50"/>
      <c r="D28" s="50"/>
      <c r="E28" s="50"/>
    </row>
    <row r="29" ht="16.5" customHeight="1">
      <c r="B29" s="84" t="s">
        <v>152</v>
      </c>
      <c r="C29" s="94" t="str">
        <f>CustoTotalPorcao</f>
        <v/>
      </c>
    </row>
    <row r="30" ht="21" customHeight="1">
      <c r="B30" s="92" t="s">
        <v>71</v>
      </c>
      <c r="C30" s="95" t="str">
        <f>IF(PrecoNegocio&lt;&gt;"",PrecoNegocio,IF(N(C14)&gt;=1,"não fecha","preencha os %"))</f>
        <v>preencha os %</v>
      </c>
    </row>
    <row r="31" ht="16.5" customHeight="1">
      <c r="B31" s="84" t="s">
        <v>153</v>
      </c>
      <c r="C31" s="94" t="str">
        <f>PrecoSugerido</f>
        <v/>
      </c>
    </row>
    <row r="33">
      <c r="B33" s="50" t="s">
        <v>154</v>
      </c>
      <c r="C33" s="50"/>
      <c r="D33" s="50"/>
      <c r="E33" s="50"/>
    </row>
    <row r="34" ht="25.5" customHeight="1">
      <c r="B34" s="62" t="s">
        <v>155</v>
      </c>
      <c r="C34" s="105" t="str">
        <f>IF(N(CustoTotalPorcao)=0,"",IF(N(PrecoPraticado)&gt;0,PrecoPraticado,IF(PrecoNegocio&lt;&gt;"",PrecoNegocio,PrecoSugerido)))</f>
        <v/>
      </c>
      <c r="D34" s="23"/>
      <c r="E34" s="27" t="str">
        <f>IF(N(PrecoPraticado)&gt;0,"O preço que você pratica (aba Custos).",IF(PrecoNegocio&lt;&gt;"","O preço pelo seu negócio, acima.","O preço de referência pelo CMV (preencha os % para usar o do seu negócio)."))</f>
        <v>O preço de referência pelo CMV (preencha os % para usar o do seu negócio).</v>
      </c>
    </row>
    <row r="35" ht="25.5" customHeight="1">
      <c r="B35" s="62" t="s">
        <v>156</v>
      </c>
      <c r="C35" s="105" t="str">
        <f>IF(N(C34)=0,"",C34*(1-SUM(C8,C9,C11,C12))-CustoTotalPorcao)</f>
        <v/>
      </c>
      <c r="D35" s="23"/>
      <c r="E35" s="27" t="str">
        <f>IF(N(C35)&lt;0,"⚠️ Com este preço a porção não paga nem o ingrediente, os impostos e as taxas.","Preço menos impostos, taxas, marketing, outros custos e o custo da porção.")</f>
        <v>Preço menos impostos, taxas, marketing, outros custos e o custo da porção.</v>
      </c>
    </row>
    <row r="36" ht="25.5" customHeight="1">
      <c r="B36" s="63" t="s">
        <v>157</v>
      </c>
      <c r="C36" s="111" t="str">
        <f>IF(OR(N(C20)=0,N(C35)&lt;=0),"",ROUNDUP(C20/C35,0))</f>
        <v/>
      </c>
      <c r="D36" s="23"/>
      <c r="E36" s="27" t="s">
        <v>158</v>
      </c>
    </row>
    <row r="37" ht="25.5" customHeight="1">
      <c r="B37" s="62" t="s">
        <v>159</v>
      </c>
      <c r="C37" s="107"/>
      <c r="D37" s="23"/>
      <c r="E37" s="27" t="s">
        <v>160</v>
      </c>
    </row>
    <row r="38" ht="25.5" customHeight="1">
      <c r="B38" s="62" t="s">
        <v>161</v>
      </c>
      <c r="C38" s="108" t="str">
        <f>IF(OR(N(C37)=0,C35=""),"",C37*C35)</f>
        <v/>
      </c>
      <c r="D38" s="23"/>
      <c r="E38" s="27" t="str">
        <f>IF(OR(C38="",N(C20)=0),"",TEXT(C38/C20,"0%")&amp;" dos outros gastos fixos do mês.")</f>
        <v/>
      </c>
    </row>
    <row r="40" ht="42" customHeight="1">
      <c r="B40" s="115" t="s">
        <v>162</v>
      </c>
      <c r="C40" s="115"/>
      <c r="D40" s="115"/>
      <c r="E40" s="115"/>
    </row>
  </sheetData>
  <sheetProtection sheet="1" objects="1" scenarios="1" formatColumns="0" formatRows="0"/>
  <mergeCells count="4">
    <mergeCell ref="B2:E2"/>
    <mergeCell ref="B5:E5"/>
    <mergeCell ref="B25:E25"/>
    <mergeCell ref="B40:E40"/>
  </mergeCells>
  <pageMargins left="0.25" right="0.25" top="0.75" bottom="0.75" header="0.30000001192092896" footer="0.30000001192092896"/>
  <pageSetup paperSize="9" fitToWidth="1" fitToHeight="1" orientation="portrait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E10614"/>
    <pageSetUpPr fitToPage="1"/>
  </sheetPr>
  <dimension ref="B2:D37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163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164</v>
      </c>
      <c r="C5" s="467"/>
      <c r="D5" s="467"/>
    </row>
    <row r="6" ht="22.5" customHeight="1">
      <c r="B6" s="470" t="s">
        <v>165</v>
      </c>
      <c r="C6" s="470"/>
      <c r="D6" s="470"/>
    </row>
    <row r="8" ht="19.5" customHeight="1">
      <c r="B8" s="472" t="s">
        <v>166</v>
      </c>
      <c r="C8" s="472"/>
      <c r="D8" s="472"/>
    </row>
    <row r="9" ht="6" customHeight="1"/>
    <row r="10" ht="19.5" customHeight="1">
      <c r="B10" s="484">
        <v>1</v>
      </c>
      <c r="C10" s="496" t="s">
        <v>167</v>
      </c>
      <c r="D10" s="301"/>
    </row>
    <row r="11" ht="33" customHeight="1">
      <c r="B11" s="484"/>
      <c r="C11" s="503" t="s">
        <v>168</v>
      </c>
      <c r="D11" s="503"/>
    </row>
    <row r="12" ht="7.5" customHeight="1"/>
    <row r="13" ht="19.5" customHeight="1">
      <c r="B13" s="484">
        <v>2</v>
      </c>
      <c r="C13" s="496" t="s">
        <v>169</v>
      </c>
      <c r="D13" s="301"/>
    </row>
    <row r="14" ht="55.5" customHeight="1">
      <c r="B14" s="484"/>
      <c r="C14" s="503" t="s">
        <v>170</v>
      </c>
      <c r="D14" s="503"/>
    </row>
    <row r="15" ht="7.5" customHeight="1"/>
    <row r="16" ht="19.5" customHeight="1">
      <c r="B16" s="484">
        <v>3</v>
      </c>
      <c r="C16" s="496" t="s">
        <v>171</v>
      </c>
      <c r="D16" s="301"/>
    </row>
    <row r="17" ht="33" customHeight="1">
      <c r="B17" s="484"/>
      <c r="C17" s="503" t="s">
        <v>172</v>
      </c>
      <c r="D17" s="503"/>
    </row>
    <row r="18" ht="7.5" customHeight="1"/>
    <row r="19" ht="19.5" customHeight="1">
      <c r="B19" s="472" t="s">
        <v>173</v>
      </c>
      <c r="C19" s="472"/>
      <c r="D19" s="472"/>
    </row>
    <row r="20" ht="6" customHeight="1"/>
    <row r="21" ht="19.5" customHeight="1">
      <c r="B21" s="484">
        <v>4</v>
      </c>
      <c r="C21" s="496" t="s">
        <v>174</v>
      </c>
      <c r="D21" s="301"/>
    </row>
    <row r="22" ht="33" customHeight="1">
      <c r="B22" s="484"/>
      <c r="C22" s="503" t="s">
        <v>175</v>
      </c>
      <c r="D22" s="503"/>
    </row>
    <row r="23" ht="7.5" customHeight="1"/>
    <row r="24" ht="19.5" customHeight="1">
      <c r="B24" s="506" t="s">
        <v>176</v>
      </c>
      <c r="C24" s="517" t="s">
        <v>177</v>
      </c>
      <c r="D24" s="116"/>
    </row>
    <row r="25" ht="55.5" customHeight="1">
      <c r="B25" s="506"/>
      <c r="C25" s="522" t="s">
        <v>178</v>
      </c>
      <c r="D25" s="522"/>
    </row>
    <row r="26" ht="7.5" customHeight="1"/>
    <row r="27" ht="19.5" customHeight="1">
      <c r="B27" s="484">
        <v>5</v>
      </c>
      <c r="C27" s="496" t="s">
        <v>179</v>
      </c>
      <c r="D27" s="301"/>
    </row>
    <row r="28" ht="33" customHeight="1">
      <c r="B28" s="484"/>
      <c r="C28" s="503" t="s">
        <v>180</v>
      </c>
      <c r="D28" s="503"/>
    </row>
    <row r="29" ht="7.5" customHeight="1"/>
    <row r="30" ht="19.5" customHeight="1">
      <c r="B30" s="484">
        <v>6</v>
      </c>
      <c r="C30" s="496" t="s">
        <v>181</v>
      </c>
      <c r="D30" s="301"/>
    </row>
    <row r="31" ht="33" customHeight="1">
      <c r="B31" s="484"/>
      <c r="C31" s="503" t="s">
        <v>182</v>
      </c>
      <c r="D31" s="503"/>
    </row>
    <row r="32" ht="7.5" customHeight="1"/>
    <row r="33" ht="19.5" customHeight="1">
      <c r="B33" s="484">
        <v>7</v>
      </c>
      <c r="C33" s="496" t="s">
        <v>183</v>
      </c>
      <c r="D33" s="301"/>
    </row>
    <row r="34" ht="21.75" customHeight="1">
      <c r="B34" s="484"/>
      <c r="C34" s="503" t="s">
        <v>52</v>
      </c>
      <c r="D34" s="503"/>
    </row>
    <row r="35" ht="7.5" customHeight="1"/>
    <row r="36" ht="3" customHeight="1">
      <c r="B36" s="284"/>
      <c r="C36" s="284"/>
      <c r="D36" s="284"/>
    </row>
    <row r="37">
      <c r="B37" s="541" t="s">
        <v>78</v>
      </c>
      <c r="C37" s="541"/>
      <c r="D37" s="541"/>
    </row>
  </sheetData>
  <mergeCells count="30">
    <mergeCell ref="C2:D2"/>
    <mergeCell ref="B5:D5"/>
    <mergeCell ref="B6:D6"/>
    <mergeCell ref="B8:D8"/>
    <mergeCell ref="B10:B11"/>
    <mergeCell ref="C10:D10"/>
    <mergeCell ref="C11:D11"/>
    <mergeCell ref="B13:B14"/>
    <mergeCell ref="C13:D13"/>
    <mergeCell ref="C14:D14"/>
    <mergeCell ref="B16:B17"/>
    <mergeCell ref="C16:D16"/>
    <mergeCell ref="C17:D17"/>
    <mergeCell ref="B19:D19"/>
    <mergeCell ref="B21:B22"/>
    <mergeCell ref="C21:D21"/>
    <mergeCell ref="C22:D22"/>
    <mergeCell ref="B24:B25"/>
    <mergeCell ref="C24:D24"/>
    <mergeCell ref="C25:D25"/>
    <mergeCell ref="B27:B28"/>
    <mergeCell ref="C27:D27"/>
    <mergeCell ref="C28:D28"/>
    <mergeCell ref="B30:B31"/>
    <mergeCell ref="C30:D30"/>
    <mergeCell ref="C31:D31"/>
    <mergeCell ref="B33:B34"/>
    <mergeCell ref="C33:D33"/>
    <mergeCell ref="C34:D34"/>
    <mergeCell ref="B37:D37"/>
  </mergeCells>
  <pageMargins left="0.25" right="0.25" top="0.75" bottom="0.75" header="0.30000001192092896" footer="0.30000001192092896"/>
  <pageSetup paperSize="9" fitToWidth="1" fitToHeight="1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D6EB0"/>
    <pageSetUpPr fitToPage="1"/>
  </sheetPr>
  <dimension ref="B2:D53"/>
  <sheetViews>
    <sheetView showGridLines="0" workbookViewId="0">
      <selection activeCell="A1" sqref="A1"/>
    </sheetView>
  </sheetViews>
  <sheetFormatPr defaultRowHeight="15"/>
  <cols>
    <col min="1" max="1" width="1.7109375" customWidth="1"/>
    <col min="2" max="2" width="6.57421875" customWidth="1"/>
    <col min="3" max="3" width="75.7109375" customWidth="1"/>
    <col min="4" max="4" width="21.421875" customWidth="1"/>
    <col min="5" max="5" width="1.7109375" customWidth="1"/>
  </cols>
  <sheetData>
    <row r="2" ht="49.5" customHeight="1">
      <c r="C2" s="464" t="s">
        <v>163</v>
      </c>
      <c r="D2" s="464"/>
    </row>
    <row r="3" ht="3.75" customHeight="1">
      <c r="B3" s="284"/>
      <c r="C3" s="284"/>
      <c r="D3" s="284"/>
    </row>
    <row r="4" ht="10.5" customHeight="1"/>
    <row r="5" ht="25.5" customHeight="1">
      <c r="B5" s="467" t="s">
        <v>163</v>
      </c>
      <c r="C5" s="467"/>
      <c r="D5" s="467"/>
    </row>
    <row r="6" ht="22.5" customHeight="1">
      <c r="B6" s="470" t="s">
        <v>184</v>
      </c>
      <c r="C6" s="470"/>
      <c r="D6" s="470"/>
    </row>
    <row r="8" ht="19.5" customHeight="1">
      <c r="B8" s="472" t="s">
        <v>185</v>
      </c>
      <c r="C8" s="472"/>
      <c r="D8" s="472"/>
    </row>
    <row r="9" ht="6" customHeight="1"/>
    <row r="10" ht="33" customHeight="1">
      <c r="B10" s="478" t="s">
        <v>186</v>
      </c>
      <c r="C10" s="479" t="s">
        <v>187</v>
      </c>
      <c r="D10" s="479"/>
    </row>
    <row r="11" ht="33" customHeight="1">
      <c r="B11" s="478" t="s">
        <v>186</v>
      </c>
      <c r="C11" s="479" t="s">
        <v>188</v>
      </c>
      <c r="D11" s="479"/>
    </row>
    <row r="12" ht="33" customHeight="1">
      <c r="B12" s="478" t="s">
        <v>186</v>
      </c>
      <c r="C12" s="479" t="s">
        <v>189</v>
      </c>
      <c r="D12" s="479"/>
    </row>
    <row r="13" ht="33" customHeight="1">
      <c r="B13" s="478" t="s">
        <v>186</v>
      </c>
      <c r="C13" s="479" t="s">
        <v>190</v>
      </c>
      <c r="D13" s="479"/>
    </row>
    <row r="15" ht="19.5" customHeight="1">
      <c r="B15" s="472" t="s">
        <v>191</v>
      </c>
      <c r="C15" s="472"/>
      <c r="D15" s="472"/>
    </row>
    <row r="16" ht="6" customHeight="1"/>
    <row r="17" ht="19.5" customHeight="1">
      <c r="B17" s="484">
        <v>1</v>
      </c>
      <c r="C17" s="496" t="s">
        <v>192</v>
      </c>
      <c r="D17" s="491" t="s">
        <v>193</v>
      </c>
    </row>
    <row r="18" ht="89.25" customHeight="1">
      <c r="B18" s="484"/>
      <c r="C18" s="503" t="s">
        <v>194</v>
      </c>
      <c r="D18" s="503"/>
    </row>
    <row r="19" ht="7.5" customHeight="1"/>
    <row r="20" ht="19.5" customHeight="1">
      <c r="B20" s="484">
        <v>2</v>
      </c>
      <c r="C20" s="496" t="s">
        <v>195</v>
      </c>
      <c r="D20" s="491" t="s">
        <v>193</v>
      </c>
    </row>
    <row r="21" ht="156.75" customHeight="1">
      <c r="B21" s="484"/>
      <c r="C21" s="503" t="s">
        <v>196</v>
      </c>
      <c r="D21" s="503"/>
    </row>
    <row r="22" ht="7.5" customHeight="1"/>
    <row r="23" ht="19.5" customHeight="1">
      <c r="B23" s="484">
        <v>3</v>
      </c>
      <c r="C23" s="496" t="s">
        <v>197</v>
      </c>
      <c r="D23" s="491" t="s">
        <v>193</v>
      </c>
    </row>
    <row r="24" ht="89.25" customHeight="1">
      <c r="B24" s="484"/>
      <c r="C24" s="503" t="s">
        <v>198</v>
      </c>
      <c r="D24" s="503"/>
    </row>
    <row r="25" ht="7.5" customHeight="1"/>
    <row r="26" ht="19.5" customHeight="1">
      <c r="B26" s="506">
        <v>4</v>
      </c>
      <c r="C26" s="517" t="s">
        <v>199</v>
      </c>
      <c r="D26" s="513" t="s">
        <v>193</v>
      </c>
    </row>
    <row r="27" ht="33" customHeight="1">
      <c r="B27" s="506"/>
      <c r="C27" s="522" t="s">
        <v>200</v>
      </c>
      <c r="D27" s="522"/>
    </row>
    <row r="28" ht="7.5" customHeight="1"/>
    <row r="29" ht="19.5" customHeight="1">
      <c r="B29" s="472" t="s">
        <v>201</v>
      </c>
      <c r="C29" s="472"/>
      <c r="D29" s="472"/>
    </row>
    <row r="30" ht="6" customHeight="1"/>
    <row r="31" ht="19.5" customHeight="1">
      <c r="B31" s="525" t="s">
        <v>202</v>
      </c>
      <c r="C31" s="496" t="s">
        <v>203</v>
      </c>
      <c r="D31" s="301"/>
    </row>
    <row r="32" ht="33" customHeight="1">
      <c r="B32" s="525"/>
      <c r="C32" s="503" t="s">
        <v>204</v>
      </c>
      <c r="D32" s="503"/>
    </row>
    <row r="33" ht="7.5" customHeight="1"/>
    <row r="34" ht="19.5" customHeight="1">
      <c r="B34" s="525" t="s">
        <v>205</v>
      </c>
      <c r="C34" s="496" t="s">
        <v>206</v>
      </c>
      <c r="D34" s="301"/>
    </row>
    <row r="35" ht="66.75" customHeight="1">
      <c r="B35" s="525"/>
      <c r="C35" s="503" t="s">
        <v>207</v>
      </c>
      <c r="D35" s="503"/>
    </row>
    <row r="36" ht="7.5" customHeight="1"/>
    <row r="37" ht="19.5" customHeight="1">
      <c r="B37" s="525" t="s">
        <v>208</v>
      </c>
      <c r="C37" s="496" t="s">
        <v>209</v>
      </c>
      <c r="D37" s="301"/>
    </row>
    <row r="38" ht="89.25" customHeight="1">
      <c r="B38" s="525"/>
      <c r="C38" s="503" t="s">
        <v>210</v>
      </c>
      <c r="D38" s="503"/>
    </row>
    <row r="39" ht="7.5" customHeight="1"/>
    <row r="40" ht="19.5" customHeight="1">
      <c r="B40" s="525" t="s">
        <v>211</v>
      </c>
      <c r="C40" s="496" t="s">
        <v>212</v>
      </c>
      <c r="D40" s="528" t="s">
        <v>193</v>
      </c>
    </row>
    <row r="41" ht="78" customHeight="1">
      <c r="B41" s="525"/>
      <c r="C41" s="503" t="s">
        <v>213</v>
      </c>
      <c r="D41" s="503"/>
    </row>
    <row r="42" ht="7.5" customHeight="1"/>
    <row r="43" ht="19.5" customHeight="1">
      <c r="B43" s="472" t="s">
        <v>214</v>
      </c>
      <c r="C43" s="472"/>
      <c r="D43" s="472"/>
    </row>
    <row r="44" ht="6" customHeight="1"/>
    <row r="45" ht="21.75" customHeight="1">
      <c r="B45" s="533"/>
      <c r="C45" s="534" t="s">
        <v>215</v>
      </c>
      <c r="D45" s="534"/>
    </row>
    <row r="46" ht="4.5" customHeight="1"/>
    <row r="47" ht="33" customHeight="1">
      <c r="B47" s="537" t="s">
        <v>216</v>
      </c>
      <c r="C47" s="534" t="s">
        <v>217</v>
      </c>
      <c r="D47" s="534"/>
    </row>
    <row r="48" ht="4.5" customHeight="1"/>
    <row r="49" ht="44.25" customHeight="1">
      <c r="B49" s="540" t="s">
        <v>218</v>
      </c>
      <c r="C49" s="534" t="s">
        <v>219</v>
      </c>
      <c r="D49" s="534"/>
    </row>
    <row r="50" ht="4.5" customHeight="1"/>
    <row r="52" ht="3" customHeight="1">
      <c r="B52" s="284"/>
      <c r="C52" s="284"/>
      <c r="D52" s="284"/>
    </row>
    <row r="53">
      <c r="B53" s="541" t="s">
        <v>78</v>
      </c>
      <c r="C53" s="541"/>
      <c r="D53" s="541"/>
    </row>
  </sheetData>
  <mergeCells count="34">
    <mergeCell ref="C2:D2"/>
    <mergeCell ref="B5:D5"/>
    <mergeCell ref="B6:D6"/>
    <mergeCell ref="B8:D8"/>
    <mergeCell ref="C10:D10"/>
    <mergeCell ref="C11:D11"/>
    <mergeCell ref="C12:D12"/>
    <mergeCell ref="C13:D13"/>
    <mergeCell ref="B15:D15"/>
    <mergeCell ref="B17:B18"/>
    <mergeCell ref="C18:D18"/>
    <mergeCell ref="B20:B21"/>
    <mergeCell ref="C21:D21"/>
    <mergeCell ref="B23:B24"/>
    <mergeCell ref="C24:D24"/>
    <mergeCell ref="B26:B27"/>
    <mergeCell ref="C27:D27"/>
    <mergeCell ref="B29:D29"/>
    <mergeCell ref="B31:B32"/>
    <mergeCell ref="C31:D31"/>
    <mergeCell ref="C32:D32"/>
    <mergeCell ref="B34:B35"/>
    <mergeCell ref="C34:D34"/>
    <mergeCell ref="C35:D35"/>
    <mergeCell ref="B37:B38"/>
    <mergeCell ref="C37:D37"/>
    <mergeCell ref="C38:D38"/>
    <mergeCell ref="B40:B41"/>
    <mergeCell ref="C41:D41"/>
    <mergeCell ref="B43:D43"/>
    <mergeCell ref="C45:D45"/>
    <mergeCell ref="C47:D47"/>
    <mergeCell ref="C49:D49"/>
    <mergeCell ref="B53:D53"/>
  </mergeCells>
  <hyperlinks>
    <hyperlink ref="D17" location="'Ficha Técnica'!A1" display="'Ficha Técnica'!A1" tooltip="Ir para a aba Ficha Técnica"/>
    <hyperlink ref="D20" location="'Custos'!A1" display="'Custos'!A1" tooltip="Ir para a aba Custos"/>
    <hyperlink ref="D23" location="'Meu negócio'!A1" display="'Meu negócio'!A1" tooltip="Ir para a aba Meu negócio"/>
    <hyperlink ref="D26" location="'Aviso importante'!A1" display="'Aviso importante'!A1" tooltip="Ir para a aba Aviso importante"/>
    <hyperlink ref="D40" location="'Custos'!A1" display="'Custos'!A1" tooltip="Ir para a aba Custos"/>
  </hyperlinks>
  <pageMargins left="0.25" right="0.25" top="0.75" bottom="0.75" header="0.30000001192092896" footer="0.30000001192092896"/>
  <pageSetup paperSize="9" fitToWidth="1" fitToHeight="1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GridCraft</Application>
  <Company>PQ Alimentos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Ficha técnica · Molho Vegano de Mostarda e Açafrão</dc:title>
  <dc:creator>PQ Alimentos</dc:creator>
</cp:coreProperties>
</file>